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24226"/>
  <mc:AlternateContent xmlns:mc="http://schemas.openxmlformats.org/markup-compatibility/2006">
    <mc:Choice Requires="x15">
      <x15ac:absPath xmlns:x15ac="http://schemas.microsoft.com/office/spreadsheetml/2010/11/ac" url="\\sce\workgroup\RPA\REG OPS\FERC-REG\FERC\FERC Contract &amp; Cost Analysis\2021 FERC Rate Case TO2021\12-Dec 1 Annual Informational Update\Attachment 5 &amp; WPs\"/>
    </mc:Choice>
  </mc:AlternateContent>
  <xr:revisionPtr revIDLastSave="0" documentId="13_ncr:1_{F04954BF-4FCC-4537-A0D2-1BE64946F181}" xr6:coauthVersionLast="45" xr6:coauthVersionMax="45" xr10:uidLastSave="{00000000-0000-0000-0000-000000000000}"/>
  <bookViews>
    <workbookView xWindow="28680" yWindow="-120" windowWidth="29040" windowHeight="16440" activeTab="3" xr2:uid="{00000000-000D-0000-FFFF-FFFF00000000}"/>
  </bookViews>
  <sheets>
    <sheet name="Heading" sheetId="82" r:id="rId1"/>
    <sheet name="Contents" sheetId="68" r:id="rId2"/>
    <sheet name="Overview" sheetId="9" r:id="rId3"/>
    <sheet name="1-BaseTRR" sheetId="1" r:id="rId4"/>
    <sheet name="2-IFPTRR" sheetId="7" r:id="rId5"/>
    <sheet name="3-TrueUpAdjust" sheetId="65" r:id="rId6"/>
    <sheet name="4-TUTRR" sheetId="8" r:id="rId7"/>
    <sheet name="5-ROR-1" sheetId="28" r:id="rId8"/>
    <sheet name="5-ROR-2" sheetId="72" r:id="rId9"/>
    <sheet name="5-ROR-3" sheetId="81" r:id="rId10"/>
    <sheet name="5-ROR-4" sheetId="80" r:id="rId11"/>
    <sheet name="6-PlantInService" sheetId="4" r:id="rId12"/>
    <sheet name="7-PlantStudy" sheetId="56" r:id="rId13"/>
    <sheet name="8-AccDep" sheetId="21" r:id="rId14"/>
    <sheet name="9-ADIT" sheetId="15"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44"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s>
  <definedNames>
    <definedName name="_xlnm._FilterDatabase" localSheetId="26" hidden="1">'21-RevenueCredits'!$A$1:$O$261</definedName>
    <definedName name="_xlnm.Print_Area" localSheetId="15">'10-CWIP'!$A$1:$K$444</definedName>
    <definedName name="_xlnm.Print_Area" localSheetId="16">'11-PHFU'!$A$1:$F$61</definedName>
    <definedName name="_xlnm.Print_Area" localSheetId="17">'12-AbandonedPlant'!$A$1:$J$56</definedName>
    <definedName name="_xlnm.Print_Area" localSheetId="18">'13-WorkCap'!$A$1:$G$69</definedName>
    <definedName name="_xlnm.Print_Area" localSheetId="19">'14-IncentivePlant'!$A$1:$J$396</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'18-DepRates'!$A$1:$K$66</definedName>
    <definedName name="_xlnm.Print_Area" localSheetId="24">'19-OandM'!$A$1:$L$153</definedName>
    <definedName name="_xlnm.Print_Area" localSheetId="3">'1-BaseTRR'!$A$1:$K$175</definedName>
    <definedName name="_xlnm.Print_Area" localSheetId="25">'20-AandG'!$A$1:$J$105</definedName>
    <definedName name="_xlnm.Print_Area" localSheetId="26">'21-RevenueCredits'!$A$1:$O$261</definedName>
    <definedName name="_xlnm.Print_Area" localSheetId="27">'22-NUCs'!$A$1:$F$27</definedName>
    <definedName name="_xlnm.Print_Area" localSheetId="28">'23-RegAssets'!$A$1:$I$37</definedName>
    <definedName name="_xlnm.Print_Area" localSheetId="29">'24-CWIPTRR'!$A$1:$J$195</definedName>
    <definedName name="_xlnm.Print_Area" localSheetId="30">'25-WholesaleDifference'!$A$1:$J$103</definedName>
    <definedName name="_xlnm.Print_Area" localSheetId="31">'26-TaxRates'!$A$1:$H$41</definedName>
    <definedName name="_xlnm.Print_Area" localSheetId="32">'27-Allocators'!$A$1:$K$48</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'34-UnfundedReserves'!$A$1:$K$39</definedName>
    <definedName name="_xlnm.Print_Area" localSheetId="5">'3-TrueUpAdjust'!$A$1:$L$142</definedName>
    <definedName name="_xlnm.Print_Area" localSheetId="6">'4-TUTRR'!$A$1:$J$109</definedName>
    <definedName name="_xlnm.Print_Area" localSheetId="7">'5-ROR-1'!#REF!</definedName>
    <definedName name="_xlnm.Print_Area" localSheetId="8">'5-ROR-2'!$A$1:$P$82</definedName>
    <definedName name="_xlnm.Print_Area" localSheetId="9">'5-ROR-3'!$A$1:$E$12</definedName>
    <definedName name="_xlnm.Print_Area" localSheetId="10">'5-ROR-4'!$A$1:$E$20</definedName>
    <definedName name="_xlnm.Print_Area" localSheetId="11">'6-PlantInService'!$A$1:$M$235</definedName>
    <definedName name="_xlnm.Print_Area" localSheetId="12">'7-PlantStudy'!$A$1:$G$54</definedName>
    <definedName name="_xlnm.Print_Area" localSheetId="13">'8-AccDep'!$A$1:$N$152</definedName>
    <definedName name="_xlnm.Print_Area" localSheetId="14">'9-ADIT'!$A$1:$J$187</definedName>
    <definedName name="_xlnm.Print_Area" localSheetId="1">Contents!$A$1:$D$38</definedName>
    <definedName name="_xlnm.Print_Area" localSheetId="0">Heading!$A$1:$J$13</definedName>
    <definedName name="_xlnm.Print_Area" localSheetId="2">Overview!$A$1:$I$24</definedName>
    <definedName name="_xlnm.Print_Titles" localSheetId="3">'1-BaseTRR'!$1:$6</definedName>
    <definedName name="_xlnm.Print_Titles" localSheetId="26">'21-RevenueCredits'!$1:$3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4" i="44" l="1"/>
  <c r="I88" i="65" l="1"/>
  <c r="I87" i="65"/>
  <c r="I86" i="65"/>
  <c r="I85" i="65"/>
  <c r="I84" i="65"/>
  <c r="I83" i="65"/>
  <c r="I82" i="65"/>
  <c r="I81" i="65"/>
  <c r="I80" i="65"/>
  <c r="I79" i="65"/>
  <c r="I78" i="65"/>
  <c r="I77" i="65"/>
  <c r="I89" i="65" s="1"/>
  <c r="H89" i="65"/>
  <c r="G89" i="65"/>
  <c r="F89" i="65"/>
  <c r="E89" i="65"/>
  <c r="D89" i="65"/>
  <c r="C89" i="65"/>
  <c r="G45" i="49" l="1"/>
  <c r="G44" i="49"/>
  <c r="G43" i="49"/>
  <c r="G42" i="49"/>
  <c r="G41" i="49"/>
  <c r="G40" i="49"/>
  <c r="G39" i="49"/>
  <c r="G38" i="49"/>
  <c r="G37" i="49"/>
  <c r="G36" i="49"/>
  <c r="G35" i="49"/>
  <c r="G34" i="49"/>
  <c r="G33" i="49"/>
  <c r="H45" i="49"/>
  <c r="H44" i="49"/>
  <c r="H43" i="49"/>
  <c r="H42" i="49"/>
  <c r="H41" i="49"/>
  <c r="H40" i="49"/>
  <c r="H39" i="49"/>
  <c r="H38" i="49"/>
  <c r="H37" i="49"/>
  <c r="H36" i="49"/>
  <c r="H35" i="49"/>
  <c r="H34" i="49"/>
  <c r="H33" i="49"/>
  <c r="F45" i="49"/>
  <c r="F44" i="49"/>
  <c r="F43" i="49"/>
  <c r="F42" i="49"/>
  <c r="F41" i="49"/>
  <c r="F40" i="49"/>
  <c r="F39" i="49"/>
  <c r="F38" i="49"/>
  <c r="F37" i="49"/>
  <c r="F36" i="49"/>
  <c r="F35" i="49"/>
  <c r="F34" i="49"/>
  <c r="F33" i="49"/>
  <c r="E10" i="2" l="1"/>
  <c r="F8" i="42" l="1"/>
  <c r="N131" i="61" l="1"/>
  <c r="J131" i="61"/>
  <c r="M131" i="61" s="1"/>
  <c r="G131" i="61"/>
  <c r="I131" i="61" s="1"/>
  <c r="N130" i="61"/>
  <c r="J130" i="61"/>
  <c r="M130" i="61" s="1"/>
  <c r="G130" i="61"/>
  <c r="I130" i="61" s="1"/>
  <c r="N158" i="61"/>
  <c r="J158" i="61"/>
  <c r="M158" i="61" s="1"/>
  <c r="G158" i="61"/>
  <c r="I158" i="61" s="1"/>
  <c r="N160" i="61"/>
  <c r="J160" i="61"/>
  <c r="M160" i="61" s="1"/>
  <c r="G160" i="61"/>
  <c r="I160" i="61" s="1"/>
  <c r="N30" i="61"/>
  <c r="J30" i="61"/>
  <c r="M30" i="61" s="1"/>
  <c r="G30" i="61"/>
  <c r="I30" i="61" s="1"/>
  <c r="N133" i="61"/>
  <c r="N132" i="61"/>
  <c r="J133" i="61"/>
  <c r="M133" i="61" s="1"/>
  <c r="I133" i="61"/>
  <c r="J132" i="61"/>
  <c r="M132" i="61" s="1"/>
  <c r="I132" i="61"/>
  <c r="G132" i="61"/>
  <c r="G133" i="61"/>
  <c r="G129" i="61"/>
  <c r="G77" i="48" l="1"/>
  <c r="H77" i="48" s="1"/>
  <c r="I77" i="48" s="1"/>
  <c r="J77" i="48" s="1"/>
  <c r="J14" i="48" s="1"/>
  <c r="G78" i="48"/>
  <c r="G79" i="48"/>
  <c r="G80" i="48"/>
  <c r="H80" i="48" s="1"/>
  <c r="G81" i="48"/>
  <c r="G82" i="48"/>
  <c r="H82" i="48" s="1"/>
  <c r="I82" i="48" s="1"/>
  <c r="J82" i="48" s="1"/>
  <c r="J19" i="48" s="1"/>
  <c r="G83" i="48"/>
  <c r="H83" i="48" s="1"/>
  <c r="I83" i="48" s="1"/>
  <c r="J83" i="48" s="1"/>
  <c r="J20" i="48" s="1"/>
  <c r="G84" i="48"/>
  <c r="H84" i="48" s="1"/>
  <c r="I84" i="48" s="1"/>
  <c r="J84" i="48" s="1"/>
  <c r="J21" i="48" s="1"/>
  <c r="G85" i="48"/>
  <c r="H85" i="48" s="1"/>
  <c r="I85" i="48" s="1"/>
  <c r="J85" i="48" s="1"/>
  <c r="J22" i="48" s="1"/>
  <c r="G86" i="48"/>
  <c r="G87" i="48"/>
  <c r="G88" i="48"/>
  <c r="H88" i="48" s="1"/>
  <c r="I88" i="48" s="1"/>
  <c r="J88" i="48" s="1"/>
  <c r="J25" i="48" s="1"/>
  <c r="G89" i="48"/>
  <c r="G90" i="48"/>
  <c r="G91" i="48"/>
  <c r="G92" i="48"/>
  <c r="H92" i="48" s="1"/>
  <c r="I92" i="48" s="1"/>
  <c r="J92" i="48" s="1"/>
  <c r="J29" i="48" s="1"/>
  <c r="G93" i="48"/>
  <c r="H93" i="48" s="1"/>
  <c r="I93" i="48" s="1"/>
  <c r="J93" i="48" s="1"/>
  <c r="J30" i="48" s="1"/>
  <c r="G94" i="48"/>
  <c r="G95" i="48"/>
  <c r="G96" i="48"/>
  <c r="H96" i="48" s="1"/>
  <c r="G97" i="48"/>
  <c r="H97" i="48" s="1"/>
  <c r="I97" i="48" s="1"/>
  <c r="J97" i="48" s="1"/>
  <c r="J34" i="48" s="1"/>
  <c r="G98" i="48"/>
  <c r="H98" i="48" s="1"/>
  <c r="I98" i="48" s="1"/>
  <c r="J98" i="48" s="1"/>
  <c r="J35" i="48" s="1"/>
  <c r="H78" i="48"/>
  <c r="I78" i="48" s="1"/>
  <c r="J78" i="48" s="1"/>
  <c r="J15" i="48" s="1"/>
  <c r="H79" i="48"/>
  <c r="I79" i="48" s="1"/>
  <c r="J79" i="48" s="1"/>
  <c r="J16" i="48" s="1"/>
  <c r="H81" i="48"/>
  <c r="I81" i="48" s="1"/>
  <c r="J81" i="48" s="1"/>
  <c r="J18" i="48" s="1"/>
  <c r="H86" i="48"/>
  <c r="I86" i="48" s="1"/>
  <c r="J86" i="48" s="1"/>
  <c r="J23" i="48" s="1"/>
  <c r="H87" i="48"/>
  <c r="I87" i="48" s="1"/>
  <c r="J87" i="48" s="1"/>
  <c r="J24" i="48" s="1"/>
  <c r="H89" i="48"/>
  <c r="I89" i="48" s="1"/>
  <c r="J89" i="48" s="1"/>
  <c r="J26" i="48" s="1"/>
  <c r="H90" i="48"/>
  <c r="I90" i="48" s="1"/>
  <c r="J90" i="48" s="1"/>
  <c r="J27" i="48" s="1"/>
  <c r="H94" i="48"/>
  <c r="I94" i="48" s="1"/>
  <c r="J94" i="48" s="1"/>
  <c r="J31" i="48" s="1"/>
  <c r="H95" i="48"/>
  <c r="I95" i="48" s="1"/>
  <c r="J95" i="48" s="1"/>
  <c r="J32" i="48" s="1"/>
  <c r="H91" i="48" l="1"/>
  <c r="I91" i="48" s="1"/>
  <c r="J91" i="48" s="1"/>
  <c r="J28" i="48" s="1"/>
  <c r="I96" i="48"/>
  <c r="J96" i="48" s="1"/>
  <c r="J33" i="48" s="1"/>
  <c r="I80" i="48"/>
  <c r="J80" i="48" s="1"/>
  <c r="J17" i="48" s="1"/>
  <c r="E20" i="26" l="1"/>
  <c r="M76" i="48" l="1"/>
  <c r="G143" i="61" l="1"/>
  <c r="I143" i="61" s="1"/>
  <c r="G159" i="61" l="1"/>
  <c r="I159" i="61" s="1"/>
  <c r="J159" i="61"/>
  <c r="M159" i="61" s="1"/>
  <c r="N159" i="61"/>
  <c r="N67" i="61"/>
  <c r="N68" i="61"/>
  <c r="G67" i="61"/>
  <c r="I67" i="61" s="1"/>
  <c r="J67" i="61"/>
  <c r="M67" i="61" s="1"/>
  <c r="G68" i="61"/>
  <c r="I68" i="61" s="1"/>
  <c r="J68" i="61"/>
  <c r="M68" i="61" s="1"/>
  <c r="E41" i="30" l="1"/>
  <c r="D22" i="30" s="1"/>
  <c r="D66" i="15"/>
  <c r="D117" i="15"/>
  <c r="I56" i="46" l="1"/>
  <c r="H56" i="46"/>
  <c r="D54" i="15" l="1"/>
  <c r="D126" i="15"/>
  <c r="D128" i="15" s="1"/>
  <c r="E40" i="15"/>
  <c r="E34" i="54" l="1"/>
  <c r="D34" i="54"/>
  <c r="E108" i="15" l="1"/>
  <c r="E107" i="15"/>
  <c r="E106" i="15"/>
  <c r="E105" i="15"/>
  <c r="F102" i="15"/>
  <c r="F117" i="15" s="1"/>
  <c r="E101" i="15"/>
  <c r="E84" i="15"/>
  <c r="E83" i="15"/>
  <c r="E82" i="15"/>
  <c r="E81" i="15"/>
  <c r="E80" i="15"/>
  <c r="F79" i="15"/>
  <c r="E62" i="15"/>
  <c r="E61" i="15"/>
  <c r="E60" i="15"/>
  <c r="E59" i="15"/>
  <c r="E58" i="15"/>
  <c r="G45" i="15"/>
  <c r="E44" i="15"/>
  <c r="E43" i="15"/>
  <c r="E42" i="15"/>
  <c r="E39" i="15"/>
  <c r="E66" i="15" l="1"/>
  <c r="D13" i="15"/>
  <c r="F10" i="56" l="1"/>
  <c r="F72" i="64" l="1"/>
  <c r="E72" i="64"/>
  <c r="J10" i="28" l="1"/>
  <c r="J8" i="28"/>
  <c r="J49" i="28"/>
  <c r="J47" i="28"/>
  <c r="J46" i="28"/>
  <c r="J32" i="28"/>
  <c r="L27" i="28" l="1"/>
  <c r="K64" i="1" s="1"/>
  <c r="A9" i="28"/>
  <c r="A11" i="28" l="1"/>
  <c r="A12" i="28" s="1"/>
  <c r="A13" i="28" s="1"/>
  <c r="A14" i="28" s="1"/>
  <c r="A15" i="28" s="1"/>
  <c r="A16" i="28" s="1"/>
  <c r="A19" i="28" s="1"/>
  <c r="I63" i="72"/>
  <c r="L40" i="28" s="1"/>
  <c r="C34" i="72"/>
  <c r="L50" i="28" s="1"/>
  <c r="A34" i="72"/>
  <c r="J50" i="28" s="1"/>
  <c r="C32" i="72"/>
  <c r="L49" i="28" s="1"/>
  <c r="C30" i="72"/>
  <c r="L46" i="28" s="1"/>
  <c r="C28" i="72"/>
  <c r="L34" i="28" s="1"/>
  <c r="L48" i="28" s="1"/>
  <c r="C26" i="72"/>
  <c r="L33" i="28" s="1"/>
  <c r="A26" i="72"/>
  <c r="J33" i="28" s="1"/>
  <c r="C24" i="72"/>
  <c r="A22" i="72"/>
  <c r="C14" i="72"/>
  <c r="L11" i="28" s="1"/>
  <c r="C12" i="72"/>
  <c r="L10" i="28" s="1"/>
  <c r="C10" i="72"/>
  <c r="L9" i="28" s="1"/>
  <c r="A10" i="72"/>
  <c r="J9" i="28" s="1"/>
  <c r="C8" i="72"/>
  <c r="L8" i="28" s="1"/>
  <c r="L16" i="28" l="1"/>
  <c r="L29" i="28" s="1"/>
  <c r="K65" i="1" s="1"/>
  <c r="A28" i="72"/>
  <c r="J34" i="28" s="1"/>
  <c r="L32" i="28"/>
  <c r="L35" i="28" s="1"/>
  <c r="L47" i="28"/>
  <c r="L51" i="28" s="1"/>
  <c r="K73" i="1" s="1"/>
  <c r="A14" i="72"/>
  <c r="A20" i="28"/>
  <c r="A21" i="28" s="1"/>
  <c r="A22" i="28" s="1"/>
  <c r="A23" i="28" s="1"/>
  <c r="A25" i="28" s="1"/>
  <c r="A26" i="28" s="1"/>
  <c r="A27" i="28" s="1"/>
  <c r="J27" i="28"/>
  <c r="J16" i="28"/>
  <c r="H77" i="72"/>
  <c r="L39" i="28" s="1"/>
  <c r="L41" i="28" s="1"/>
  <c r="K68" i="1" l="1"/>
  <c r="L43" i="28"/>
  <c r="K70" i="1" s="1"/>
  <c r="K63" i="1"/>
  <c r="A16" i="72"/>
  <c r="A18" i="72" s="1"/>
  <c r="J11" i="28"/>
  <c r="K69" i="1"/>
  <c r="A29" i="28"/>
  <c r="A32" i="28" s="1"/>
  <c r="J29" i="28"/>
  <c r="F26" i="65"/>
  <c r="F25" i="65"/>
  <c r="I47" i="28" l="1"/>
  <c r="A33" i="28"/>
  <c r="A34" i="28" s="1"/>
  <c r="J35" i="28" s="1"/>
  <c r="D76" i="49"/>
  <c r="D77" i="49"/>
  <c r="B57" i="28" l="1"/>
  <c r="A35" i="28"/>
  <c r="A38" i="28" s="1"/>
  <c r="I48" i="28"/>
  <c r="N29" i="61"/>
  <c r="J29" i="61"/>
  <c r="M29" i="61" s="1"/>
  <c r="G29" i="61"/>
  <c r="I29" i="61" s="1"/>
  <c r="N28" i="61"/>
  <c r="J28" i="61"/>
  <c r="M28" i="61" s="1"/>
  <c r="G28" i="61"/>
  <c r="I28" i="61" s="1"/>
  <c r="A39" i="28" l="1"/>
  <c r="A40" i="28" s="1"/>
  <c r="A41" i="28" s="1"/>
  <c r="J43" i="28" l="1"/>
  <c r="A43" i="28"/>
  <c r="A46" i="28" s="1"/>
  <c r="J41" i="28"/>
  <c r="A47" i="28" l="1"/>
  <c r="A48" i="28" s="1"/>
  <c r="A49" i="28" s="1"/>
  <c r="A50" i="28" s="1"/>
  <c r="A51" i="28" s="1"/>
  <c r="I73" i="1" s="1"/>
  <c r="J51" i="28" l="1"/>
  <c r="E45" i="21"/>
  <c r="E44" i="21"/>
  <c r="C26" i="56"/>
  <c r="E12" i="56"/>
  <c r="C12" i="56"/>
  <c r="C17" i="56" s="1"/>
  <c r="F11" i="56"/>
  <c r="F39" i="56"/>
  <c r="F38" i="56"/>
  <c r="F36" i="56"/>
  <c r="E40" i="56"/>
  <c r="E42" i="56" s="1"/>
  <c r="E26" i="56"/>
  <c r="F25" i="56"/>
  <c r="F24" i="56"/>
  <c r="F23" i="56"/>
  <c r="F22" i="56"/>
  <c r="F21" i="56"/>
  <c r="F20" i="56"/>
  <c r="F15" i="56"/>
  <c r="C40" i="56"/>
  <c r="C42" i="56" s="1"/>
  <c r="E46" i="21" l="1"/>
  <c r="F51" i="21" s="1"/>
  <c r="F12" i="56"/>
  <c r="C28" i="56"/>
  <c r="F26" i="56"/>
  <c r="F42" i="56"/>
  <c r="F40" i="56"/>
  <c r="E17" i="56"/>
  <c r="E135" i="61"/>
  <c r="E162" i="61"/>
  <c r="E167" i="61"/>
  <c r="E172" i="61"/>
  <c r="E28" i="56" l="1"/>
  <c r="F28" i="56" s="1"/>
  <c r="F17" i="56"/>
  <c r="I126" i="15"/>
  <c r="K108" i="1" l="1"/>
  <c r="E203" i="61" l="1"/>
  <c r="E204" i="61" s="1"/>
  <c r="N167" i="61" l="1"/>
  <c r="M167" i="61"/>
  <c r="L167" i="61"/>
  <c r="J167" i="61"/>
  <c r="I167" i="61"/>
  <c r="H167" i="61"/>
  <c r="G167" i="61"/>
  <c r="L215" i="61" l="1"/>
  <c r="N212" i="61"/>
  <c r="N211" i="61"/>
  <c r="N210" i="61"/>
  <c r="N209" i="61"/>
  <c r="N208" i="61"/>
  <c r="J212" i="61"/>
  <c r="M212" i="61" s="1"/>
  <c r="J211" i="61"/>
  <c r="M211" i="61" s="1"/>
  <c r="J210" i="61"/>
  <c r="M210" i="61" s="1"/>
  <c r="J209" i="61"/>
  <c r="M209" i="61" s="1"/>
  <c r="J208" i="61"/>
  <c r="M208" i="61" s="1"/>
  <c r="L203" i="61"/>
  <c r="H203" i="61"/>
  <c r="L135" i="61"/>
  <c r="N88" i="61"/>
  <c r="N87" i="61"/>
  <c r="N86" i="61"/>
  <c r="N85" i="61"/>
  <c r="N84" i="61"/>
  <c r="N83" i="61"/>
  <c r="N81" i="61"/>
  <c r="N80" i="61"/>
  <c r="N79" i="61"/>
  <c r="N78" i="61"/>
  <c r="N77" i="61"/>
  <c r="N76" i="61"/>
  <c r="N75" i="61"/>
  <c r="N74" i="61"/>
  <c r="N73" i="61"/>
  <c r="J88" i="61"/>
  <c r="M88" i="61" s="1"/>
  <c r="J87" i="61"/>
  <c r="M87" i="61" s="1"/>
  <c r="J86" i="61"/>
  <c r="M86" i="61" s="1"/>
  <c r="J85" i="61"/>
  <c r="M85" i="61" s="1"/>
  <c r="J84" i="61"/>
  <c r="M84" i="61" s="1"/>
  <c r="J83" i="61"/>
  <c r="M83" i="61" s="1"/>
  <c r="J82" i="61"/>
  <c r="M82" i="61" s="1"/>
  <c r="J81" i="61"/>
  <c r="M81" i="61" s="1"/>
  <c r="J80" i="61"/>
  <c r="M80" i="61" s="1"/>
  <c r="J79" i="61"/>
  <c r="M79" i="61" s="1"/>
  <c r="J78" i="61"/>
  <c r="M78" i="61" s="1"/>
  <c r="J77" i="61"/>
  <c r="M77" i="61" s="1"/>
  <c r="J76" i="61"/>
  <c r="M76" i="61" s="1"/>
  <c r="J75" i="61"/>
  <c r="M75" i="61" s="1"/>
  <c r="J74" i="61"/>
  <c r="M74" i="61" s="1"/>
  <c r="J73" i="61"/>
  <c r="N157" i="61"/>
  <c r="N156" i="61"/>
  <c r="N155" i="61"/>
  <c r="N154" i="61"/>
  <c r="N153" i="61"/>
  <c r="N152" i="61"/>
  <c r="N151" i="61"/>
  <c r="N150" i="61"/>
  <c r="N149" i="61"/>
  <c r="N148" i="61"/>
  <c r="N147" i="61"/>
  <c r="N146" i="61"/>
  <c r="N145" i="61"/>
  <c r="N144" i="61"/>
  <c r="N143" i="61"/>
  <c r="N142" i="61"/>
  <c r="N141" i="61"/>
  <c r="N140" i="61"/>
  <c r="N139" i="61"/>
  <c r="N138" i="61"/>
  <c r="J157" i="61"/>
  <c r="M157" i="61" s="1"/>
  <c r="J156" i="61"/>
  <c r="M156" i="61" s="1"/>
  <c r="J155" i="61"/>
  <c r="M155" i="61" s="1"/>
  <c r="J154" i="61"/>
  <c r="M154" i="61" s="1"/>
  <c r="J153" i="61"/>
  <c r="M153" i="61" s="1"/>
  <c r="J151" i="61"/>
  <c r="M151" i="61" s="1"/>
  <c r="J150" i="61"/>
  <c r="M150" i="61" s="1"/>
  <c r="J149" i="61"/>
  <c r="M149" i="61" s="1"/>
  <c r="J148" i="61"/>
  <c r="M148" i="61" s="1"/>
  <c r="J147" i="61"/>
  <c r="M147" i="61" s="1"/>
  <c r="J146" i="61"/>
  <c r="M146" i="61" s="1"/>
  <c r="J145" i="61"/>
  <c r="M145" i="61" s="1"/>
  <c r="J144" i="61"/>
  <c r="M144" i="61" s="1"/>
  <c r="J143" i="61"/>
  <c r="J142" i="61"/>
  <c r="M142" i="61" s="1"/>
  <c r="J141" i="61"/>
  <c r="M141" i="61" s="1"/>
  <c r="J140" i="61"/>
  <c r="M140" i="61" s="1"/>
  <c r="J139" i="61"/>
  <c r="M139" i="61" s="1"/>
  <c r="J138" i="61"/>
  <c r="M138" i="61" s="1"/>
  <c r="G157" i="61"/>
  <c r="I157" i="61" s="1"/>
  <c r="G156" i="61"/>
  <c r="I156" i="61" s="1"/>
  <c r="G155" i="61"/>
  <c r="I155" i="61" s="1"/>
  <c r="G154" i="61"/>
  <c r="I154" i="61" s="1"/>
  <c r="G153" i="61"/>
  <c r="I153" i="61" s="1"/>
  <c r="G152" i="61"/>
  <c r="I152" i="61" s="1"/>
  <c r="G150" i="61"/>
  <c r="I150" i="61" s="1"/>
  <c r="G149" i="61"/>
  <c r="I149" i="61" s="1"/>
  <c r="G148" i="61"/>
  <c r="I148" i="61" s="1"/>
  <c r="G147" i="61"/>
  <c r="I147" i="61" s="1"/>
  <c r="G146" i="61"/>
  <c r="I146" i="61" s="1"/>
  <c r="G145" i="61"/>
  <c r="I145" i="61" s="1"/>
  <c r="G144" i="61"/>
  <c r="G142" i="61"/>
  <c r="I142" i="61" s="1"/>
  <c r="G141" i="61"/>
  <c r="G140" i="61"/>
  <c r="I140" i="61" s="1"/>
  <c r="G139" i="61"/>
  <c r="I139" i="61" s="1"/>
  <c r="G138" i="61"/>
  <c r="H138" i="61" s="1"/>
  <c r="N122" i="61"/>
  <c r="N121" i="61"/>
  <c r="N120" i="61"/>
  <c r="N119" i="61"/>
  <c r="N118" i="61"/>
  <c r="N117" i="61"/>
  <c r="N116" i="61"/>
  <c r="N115" i="61"/>
  <c r="N114" i="61"/>
  <c r="N113" i="61"/>
  <c r="N112" i="61"/>
  <c r="N111" i="61"/>
  <c r="N110" i="61"/>
  <c r="N107" i="61"/>
  <c r="N106" i="61"/>
  <c r="N105" i="61"/>
  <c r="N104" i="61"/>
  <c r="N103" i="61"/>
  <c r="N102" i="61"/>
  <c r="N101" i="61"/>
  <c r="N100" i="61"/>
  <c r="J122" i="61"/>
  <c r="M122" i="61" s="1"/>
  <c r="J121" i="61"/>
  <c r="M121" i="61" s="1"/>
  <c r="J120" i="61"/>
  <c r="M120" i="61" s="1"/>
  <c r="J119" i="61"/>
  <c r="M119" i="61" s="1"/>
  <c r="J118" i="61"/>
  <c r="M118" i="61" s="1"/>
  <c r="J117" i="61"/>
  <c r="M117" i="61" s="1"/>
  <c r="J116" i="61"/>
  <c r="M116" i="61" s="1"/>
  <c r="J115" i="61"/>
  <c r="M115" i="61" s="1"/>
  <c r="J114" i="61"/>
  <c r="M114" i="61" s="1"/>
  <c r="J113" i="61"/>
  <c r="M113" i="61" s="1"/>
  <c r="J112" i="61"/>
  <c r="M112" i="61" s="1"/>
  <c r="J111" i="61"/>
  <c r="M111" i="61" s="1"/>
  <c r="J110" i="61"/>
  <c r="M110" i="61" s="1"/>
  <c r="J109" i="61"/>
  <c r="J108" i="61"/>
  <c r="J107" i="61"/>
  <c r="M107" i="61" s="1"/>
  <c r="J106" i="61"/>
  <c r="M106" i="61" s="1"/>
  <c r="J105" i="61"/>
  <c r="M105" i="61" s="1"/>
  <c r="J104" i="61"/>
  <c r="M104" i="61" s="1"/>
  <c r="J103" i="61"/>
  <c r="M103" i="61" s="1"/>
  <c r="J102" i="61"/>
  <c r="M102" i="61" s="1"/>
  <c r="J101" i="61"/>
  <c r="M101" i="61" s="1"/>
  <c r="J100" i="61"/>
  <c r="M100" i="61" s="1"/>
  <c r="G122" i="61"/>
  <c r="I122" i="61" s="1"/>
  <c r="G121" i="61"/>
  <c r="I121" i="61" s="1"/>
  <c r="G119" i="61"/>
  <c r="I119" i="61" s="1"/>
  <c r="G118" i="61"/>
  <c r="I118" i="61" s="1"/>
  <c r="G117" i="61"/>
  <c r="I117" i="61" s="1"/>
  <c r="G116" i="61"/>
  <c r="I116" i="61" s="1"/>
  <c r="G115" i="61"/>
  <c r="I115" i="61" s="1"/>
  <c r="G114" i="61"/>
  <c r="I114" i="61" s="1"/>
  <c r="G113" i="61"/>
  <c r="I113" i="61" s="1"/>
  <c r="G112" i="61"/>
  <c r="I112" i="61" s="1"/>
  <c r="G111" i="61"/>
  <c r="I111" i="61" s="1"/>
  <c r="G110" i="61"/>
  <c r="I110" i="61" s="1"/>
  <c r="G107" i="61"/>
  <c r="I107" i="61" s="1"/>
  <c r="G106" i="61"/>
  <c r="I106" i="61" s="1"/>
  <c r="G105" i="61"/>
  <c r="I105" i="61" s="1"/>
  <c r="G104" i="61"/>
  <c r="I104" i="61" s="1"/>
  <c r="G103" i="61"/>
  <c r="I103" i="61" s="1"/>
  <c r="G102" i="61"/>
  <c r="I102" i="61" s="1"/>
  <c r="G101" i="61"/>
  <c r="I101" i="61" s="1"/>
  <c r="G100" i="61"/>
  <c r="I100" i="61" s="1"/>
  <c r="G99" i="61"/>
  <c r="G98" i="61"/>
  <c r="G97" i="61"/>
  <c r="G96" i="61"/>
  <c r="G95" i="61"/>
  <c r="G94" i="61"/>
  <c r="G93" i="61"/>
  <c r="G92" i="61"/>
  <c r="G91" i="61"/>
  <c r="G90" i="61"/>
  <c r="G89" i="61"/>
  <c r="G88" i="61"/>
  <c r="I88" i="61" s="1"/>
  <c r="G87" i="61"/>
  <c r="I87" i="61" s="1"/>
  <c r="G86" i="61"/>
  <c r="I86" i="61" s="1"/>
  <c r="G85" i="61"/>
  <c r="I85" i="61" s="1"/>
  <c r="G84" i="61"/>
  <c r="I84" i="61" s="1"/>
  <c r="G83" i="61"/>
  <c r="I83" i="61" s="1"/>
  <c r="G81" i="61"/>
  <c r="G80" i="61"/>
  <c r="I80" i="61" s="1"/>
  <c r="G79" i="61"/>
  <c r="I79" i="61" s="1"/>
  <c r="G78" i="61"/>
  <c r="I78" i="61" s="1"/>
  <c r="G77" i="61"/>
  <c r="I77" i="61" s="1"/>
  <c r="G76" i="61"/>
  <c r="I76" i="61" s="1"/>
  <c r="G75" i="61"/>
  <c r="I75" i="61" s="1"/>
  <c r="G74" i="61"/>
  <c r="I74" i="61" s="1"/>
  <c r="G73" i="61"/>
  <c r="I73" i="61" s="1"/>
  <c r="N63" i="61"/>
  <c r="N62" i="61"/>
  <c r="N61" i="61"/>
  <c r="N60" i="61"/>
  <c r="N59" i="61"/>
  <c r="J63" i="61"/>
  <c r="M63" i="61" s="1"/>
  <c r="J60" i="61"/>
  <c r="M60" i="61" s="1"/>
  <c r="J59" i="61"/>
  <c r="M59" i="61" s="1"/>
  <c r="J62" i="61"/>
  <c r="M62" i="61" s="1"/>
  <c r="N57" i="61"/>
  <c r="N56" i="61"/>
  <c r="N55" i="61"/>
  <c r="N54" i="61"/>
  <c r="N53" i="61"/>
  <c r="J57" i="61"/>
  <c r="J56" i="61"/>
  <c r="J55" i="61"/>
  <c r="J54" i="61"/>
  <c r="J53" i="61"/>
  <c r="G120" i="61"/>
  <c r="I120" i="61" s="1"/>
  <c r="N215" i="61" l="1"/>
  <c r="M215" i="61"/>
  <c r="J215" i="61"/>
  <c r="I138" i="61"/>
  <c r="I141" i="61"/>
  <c r="M73" i="61"/>
  <c r="G53" i="61" l="1"/>
  <c r="N52" i="61" l="1"/>
  <c r="H52" i="61"/>
  <c r="H51" i="61"/>
  <c r="N51" i="61" s="1"/>
  <c r="G66" i="61" l="1"/>
  <c r="G63" i="61"/>
  <c r="I63" i="61" s="1"/>
  <c r="G62" i="61"/>
  <c r="I62" i="61" s="1"/>
  <c r="G61" i="61"/>
  <c r="I61" i="61" s="1"/>
  <c r="G59" i="61"/>
  <c r="I59" i="61" s="1"/>
  <c r="G58" i="61"/>
  <c r="G57" i="61"/>
  <c r="I57" i="61" s="1"/>
  <c r="G56" i="61"/>
  <c r="I56" i="61" s="1"/>
  <c r="G55" i="61"/>
  <c r="I55" i="61" s="1"/>
  <c r="G54" i="61"/>
  <c r="I54" i="61" s="1"/>
  <c r="J51" i="61" l="1"/>
  <c r="M51" i="61" s="1"/>
  <c r="N43" i="61"/>
  <c r="N42" i="61"/>
  <c r="N41" i="61"/>
  <c r="N40" i="61"/>
  <c r="J40" i="61"/>
  <c r="M40" i="61" s="1"/>
  <c r="G51" i="61"/>
  <c r="N37" i="61"/>
  <c r="M37" i="61"/>
  <c r="L37" i="61"/>
  <c r="J37" i="61"/>
  <c r="I37" i="61"/>
  <c r="H37" i="61"/>
  <c r="G37" i="61"/>
  <c r="E37" i="61"/>
  <c r="G43" i="61"/>
  <c r="I43" i="61" s="1"/>
  <c r="G42" i="61"/>
  <c r="I42" i="61" s="1"/>
  <c r="G41" i="61"/>
  <c r="I41" i="61" s="1"/>
  <c r="G40" i="61"/>
  <c r="I40" i="61" s="1"/>
  <c r="N129" i="61"/>
  <c r="I129" i="61"/>
  <c r="J129" i="61"/>
  <c r="M129" i="61" s="1"/>
  <c r="L70" i="61" l="1"/>
  <c r="L32" i="61"/>
  <c r="H32" i="61"/>
  <c r="E32" i="61"/>
  <c r="H8" i="61"/>
  <c r="E8" i="61"/>
  <c r="N66" i="61"/>
  <c r="J66" i="61"/>
  <c r="M66" i="61" s="1"/>
  <c r="I66" i="61"/>
  <c r="N128" i="61" l="1"/>
  <c r="N127" i="61"/>
  <c r="N125" i="61"/>
  <c r="N124" i="61"/>
  <c r="N123" i="61"/>
  <c r="H126" i="61"/>
  <c r="N126" i="61" s="1"/>
  <c r="J123" i="61"/>
  <c r="M123" i="61" s="1"/>
  <c r="J124" i="61"/>
  <c r="M124" i="61" s="1"/>
  <c r="J125" i="61"/>
  <c r="M125" i="61" s="1"/>
  <c r="J126" i="61"/>
  <c r="M126" i="61" s="1"/>
  <c r="J127" i="61"/>
  <c r="M127" i="61" s="1"/>
  <c r="J128" i="61"/>
  <c r="M128" i="61" s="1"/>
  <c r="G123" i="61"/>
  <c r="I123" i="61" s="1"/>
  <c r="G124" i="61"/>
  <c r="I124" i="61" s="1"/>
  <c r="G125" i="61"/>
  <c r="I125" i="61" s="1"/>
  <c r="G127" i="61"/>
  <c r="I127" i="61" s="1"/>
  <c r="G128" i="61"/>
  <c r="E215" i="61"/>
  <c r="E216" i="61" s="1"/>
  <c r="H128" i="61" l="1"/>
  <c r="I128" i="61" s="1"/>
  <c r="L162" i="61"/>
  <c r="L8" i="61"/>
  <c r="H49" i="61" l="1"/>
  <c r="G49" i="61" s="1"/>
  <c r="J48" i="61"/>
  <c r="G48" i="61"/>
  <c r="I48" i="61" s="1"/>
  <c r="N27" i="61"/>
  <c r="N26" i="61"/>
  <c r="N25" i="61"/>
  <c r="N24" i="61"/>
  <c r="N23" i="61"/>
  <c r="N22" i="61"/>
  <c r="N21" i="61"/>
  <c r="J27" i="61"/>
  <c r="M27" i="61" s="1"/>
  <c r="J26" i="61"/>
  <c r="M26" i="61" s="1"/>
  <c r="J25" i="61"/>
  <c r="M25" i="61" s="1"/>
  <c r="J24" i="61"/>
  <c r="M24" i="61" s="1"/>
  <c r="J23" i="61"/>
  <c r="M23" i="61" s="1"/>
  <c r="J22" i="61"/>
  <c r="M22" i="61" s="1"/>
  <c r="J21" i="61"/>
  <c r="M21" i="61" s="1"/>
  <c r="G27" i="61"/>
  <c r="I27" i="61" s="1"/>
  <c r="G26" i="61"/>
  <c r="I26" i="61" s="1"/>
  <c r="G25" i="61"/>
  <c r="I25" i="61" s="1"/>
  <c r="G24" i="61"/>
  <c r="I24" i="61" s="1"/>
  <c r="G23" i="61"/>
  <c r="I23" i="61" s="1"/>
  <c r="G22" i="61"/>
  <c r="I22" i="61" s="1"/>
  <c r="G21" i="61"/>
  <c r="I21" i="61" s="1"/>
  <c r="N49" i="61" l="1"/>
  <c r="N19" i="61"/>
  <c r="J19" i="61"/>
  <c r="M19" i="61" s="1"/>
  <c r="G19" i="61"/>
  <c r="H212" i="61" l="1"/>
  <c r="H215" i="61" s="1"/>
  <c r="G212" i="61"/>
  <c r="G211" i="61"/>
  <c r="G210" i="61"/>
  <c r="G209" i="61"/>
  <c r="G208" i="61"/>
  <c r="J190" i="61"/>
  <c r="M190" i="61" s="1"/>
  <c r="J189" i="61"/>
  <c r="M189" i="61" s="1"/>
  <c r="J188" i="61"/>
  <c r="M188" i="61" s="1"/>
  <c r="J187" i="61"/>
  <c r="M187" i="61" s="1"/>
  <c r="J186" i="61"/>
  <c r="M186" i="61" s="1"/>
  <c r="J185" i="61"/>
  <c r="M185" i="61" s="1"/>
  <c r="J184" i="61"/>
  <c r="M184" i="61" s="1"/>
  <c r="J183" i="61"/>
  <c r="M183" i="61" s="1"/>
  <c r="J182" i="61"/>
  <c r="M182" i="61" s="1"/>
  <c r="J181" i="61"/>
  <c r="M181" i="61" s="1"/>
  <c r="J180" i="61"/>
  <c r="M180" i="61" s="1"/>
  <c r="J179" i="61"/>
  <c r="M179" i="61" s="1"/>
  <c r="J178" i="61"/>
  <c r="M178" i="61" s="1"/>
  <c r="J177" i="61"/>
  <c r="M177" i="61" s="1"/>
  <c r="J176" i="61"/>
  <c r="G190" i="61"/>
  <c r="I190" i="61" s="1"/>
  <c r="G189" i="61"/>
  <c r="I189" i="61" s="1"/>
  <c r="G188" i="61"/>
  <c r="I188" i="61" s="1"/>
  <c r="G187" i="61"/>
  <c r="I187" i="61" s="1"/>
  <c r="G186" i="61"/>
  <c r="I186" i="61" s="1"/>
  <c r="G185" i="61"/>
  <c r="I185" i="61" s="1"/>
  <c r="G184" i="61"/>
  <c r="I184" i="61" s="1"/>
  <c r="G183" i="61"/>
  <c r="I183" i="61" s="1"/>
  <c r="G182" i="61"/>
  <c r="I182" i="61" s="1"/>
  <c r="G181" i="61"/>
  <c r="I181" i="61" s="1"/>
  <c r="G180" i="61"/>
  <c r="I180" i="61" s="1"/>
  <c r="G179" i="61"/>
  <c r="I179" i="61" s="1"/>
  <c r="G178" i="61"/>
  <c r="I178" i="61" s="1"/>
  <c r="G177" i="61"/>
  <c r="I177" i="61" s="1"/>
  <c r="G176" i="61"/>
  <c r="G109" i="61"/>
  <c r="I109" i="61" s="1"/>
  <c r="G108" i="61"/>
  <c r="I108" i="61" s="1"/>
  <c r="N99" i="61"/>
  <c r="N98" i="61"/>
  <c r="N97" i="61"/>
  <c r="N96" i="61"/>
  <c r="N95" i="61"/>
  <c r="N94" i="61"/>
  <c r="N93" i="61"/>
  <c r="N92" i="61"/>
  <c r="N91" i="61"/>
  <c r="N90" i="61"/>
  <c r="J99" i="61"/>
  <c r="M99" i="61" s="1"/>
  <c r="J98" i="61"/>
  <c r="M98" i="61" s="1"/>
  <c r="J97" i="61"/>
  <c r="M97" i="61" s="1"/>
  <c r="J96" i="61"/>
  <c r="M96" i="61" s="1"/>
  <c r="J95" i="61"/>
  <c r="M95" i="61" s="1"/>
  <c r="J94" i="61"/>
  <c r="M94" i="61" s="1"/>
  <c r="J93" i="61"/>
  <c r="M93" i="61" s="1"/>
  <c r="J92" i="61"/>
  <c r="M92" i="61" s="1"/>
  <c r="J91" i="61"/>
  <c r="M91" i="61" s="1"/>
  <c r="J90" i="61"/>
  <c r="M90" i="61" s="1"/>
  <c r="I99" i="61"/>
  <c r="I98" i="61"/>
  <c r="I97" i="61"/>
  <c r="I96" i="61"/>
  <c r="I95" i="61"/>
  <c r="I94" i="61"/>
  <c r="I93" i="61"/>
  <c r="I92" i="61"/>
  <c r="I91" i="61"/>
  <c r="I90" i="61"/>
  <c r="I89" i="61"/>
  <c r="N89" i="61"/>
  <c r="J89" i="61"/>
  <c r="N58" i="61"/>
  <c r="N44" i="61"/>
  <c r="N20" i="61"/>
  <c r="I212" i="61" l="1"/>
  <c r="M176" i="61"/>
  <c r="M203" i="61" s="1"/>
  <c r="J203" i="61"/>
  <c r="G215" i="61"/>
  <c r="G203" i="61"/>
  <c r="M89" i="61"/>
  <c r="J135" i="61"/>
  <c r="I176" i="61"/>
  <c r="I203" i="61" s="1"/>
  <c r="N176" i="61" l="1"/>
  <c r="A122" i="15"/>
  <c r="A123" i="15" s="1"/>
  <c r="E126" i="15" l="1"/>
  <c r="J18" i="61"/>
  <c r="M18" i="61" s="1"/>
  <c r="N189" i="61" l="1"/>
  <c r="N190" i="61"/>
  <c r="G12" i="61" l="1"/>
  <c r="J64" i="61" l="1"/>
  <c r="M64" i="61" s="1"/>
  <c r="H65" i="61"/>
  <c r="H64" i="61"/>
  <c r="J65" i="61"/>
  <c r="M65" i="61" s="1"/>
  <c r="G64" i="61" l="1"/>
  <c r="N64" i="61"/>
  <c r="G65" i="61"/>
  <c r="N65" i="61"/>
  <c r="F54" i="15" l="1"/>
  <c r="A59" i="15"/>
  <c r="A60" i="15" s="1"/>
  <c r="G60" i="61" l="1"/>
  <c r="I60" i="61" s="1"/>
  <c r="J61" i="61"/>
  <c r="M61" i="61" s="1"/>
  <c r="E70" i="61" l="1"/>
  <c r="E219" i="61" s="1"/>
  <c r="J58" i="61"/>
  <c r="M58" i="61" s="1"/>
  <c r="H321" i="11" l="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H309" i="11"/>
  <c r="G309" i="1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I418" i="49"/>
  <c r="E418" i="49"/>
  <c r="F418" i="49" s="1"/>
  <c r="I417" i="49"/>
  <c r="E417" i="49"/>
  <c r="F417" i="49" s="1"/>
  <c r="I416" i="49"/>
  <c r="E416" i="49"/>
  <c r="F416" i="49" s="1"/>
  <c r="I415" i="49"/>
  <c r="E415" i="49"/>
  <c r="F415" i="49" s="1"/>
  <c r="I414" i="49"/>
  <c r="E414" i="49"/>
  <c r="F414" i="49" s="1"/>
  <c r="I413" i="49"/>
  <c r="E413" i="49"/>
  <c r="F413" i="49" s="1"/>
  <c r="I412" i="49"/>
  <c r="E412" i="49"/>
  <c r="F412" i="49" s="1"/>
  <c r="I411" i="49"/>
  <c r="E411" i="49"/>
  <c r="F411" i="49" s="1"/>
  <c r="J411" i="49" s="1"/>
  <c r="K409" i="49"/>
  <c r="J409" i="49"/>
  <c r="I409" i="49"/>
  <c r="H409" i="49"/>
  <c r="F409" i="49"/>
  <c r="E409" i="49"/>
  <c r="D409" i="49"/>
  <c r="K408" i="49"/>
  <c r="J408" i="49"/>
  <c r="I408" i="49"/>
  <c r="H408" i="49"/>
  <c r="F408" i="49"/>
  <c r="E408" i="49"/>
  <c r="D408" i="49"/>
  <c r="K411" i="49" l="1"/>
  <c r="J412" i="49"/>
  <c r="K412" i="49" l="1"/>
  <c r="J413" i="49"/>
  <c r="K413" i="49" l="1"/>
  <c r="J414" i="49"/>
  <c r="K414" i="49" l="1"/>
  <c r="J415" i="49"/>
  <c r="K415" i="49" l="1"/>
  <c r="J416" i="49"/>
  <c r="K416" i="49" l="1"/>
  <c r="J417" i="49"/>
  <c r="K417" i="49" l="1"/>
  <c r="J418" i="49"/>
  <c r="K418" i="49" l="1"/>
  <c r="J419" i="49"/>
  <c r="K419" i="49" l="1"/>
  <c r="J420" i="49"/>
  <c r="K420" i="49" l="1"/>
  <c r="J421" i="49"/>
  <c r="K421" i="49" l="1"/>
  <c r="J422" i="49"/>
  <c r="K422" i="49" l="1"/>
  <c r="J423" i="49"/>
  <c r="K423" i="49" l="1"/>
  <c r="J424" i="49"/>
  <c r="K424" i="49" l="1"/>
  <c r="J425" i="49"/>
  <c r="K425" i="49" l="1"/>
  <c r="J426" i="49"/>
  <c r="K426" i="49" l="1"/>
  <c r="J427" i="49"/>
  <c r="K427" i="49" l="1"/>
  <c r="J428" i="49"/>
  <c r="K428" i="49" l="1"/>
  <c r="J429" i="49"/>
  <c r="K429" i="49" l="1"/>
  <c r="J430" i="49"/>
  <c r="K430" i="49" l="1"/>
  <c r="J431" i="49"/>
  <c r="K431" i="49" l="1"/>
  <c r="J432" i="49"/>
  <c r="K432" i="49" l="1"/>
  <c r="J433" i="49"/>
  <c r="K433" i="49" l="1"/>
  <c r="J434" i="49"/>
  <c r="K434" i="49" s="1"/>
  <c r="K435" i="49" s="1"/>
  <c r="E35" i="11" l="1"/>
  <c r="D25" i="49"/>
  <c r="D24" i="49"/>
  <c r="D23" i="49"/>
  <c r="D22" i="49"/>
  <c r="D21" i="49"/>
  <c r="D20" i="49"/>
  <c r="D19" i="49"/>
  <c r="D18" i="49"/>
  <c r="D17" i="49"/>
  <c r="D16" i="49"/>
  <c r="D15" i="49"/>
  <c r="D14" i="49"/>
  <c r="D13" i="49"/>
  <c r="H46" i="49"/>
  <c r="F35" i="11" s="1"/>
  <c r="E153" i="49" l="1"/>
  <c r="A80" i="15" l="1"/>
  <c r="M45" i="48" l="1"/>
  <c r="E142" i="15" l="1"/>
  <c r="J142" i="15" s="1"/>
  <c r="H142" i="15"/>
  <c r="G142" i="15"/>
  <c r="G143" i="15" s="1"/>
  <c r="H143" i="15" s="1"/>
  <c r="G144" i="15" l="1"/>
  <c r="H144" i="15" s="1"/>
  <c r="G25" i="46"/>
  <c r="G145" i="15" l="1"/>
  <c r="H145" i="15" s="1"/>
  <c r="G146" i="15" l="1"/>
  <c r="H146" i="15" s="1"/>
  <c r="G147" i="15" l="1"/>
  <c r="H147" i="15" s="1"/>
  <c r="F72" i="26"/>
  <c r="E72" i="26"/>
  <c r="F103" i="8"/>
  <c r="F98" i="8"/>
  <c r="G148" i="15" l="1"/>
  <c r="H148" i="15" s="1"/>
  <c r="G149" i="15" l="1"/>
  <c r="H149" i="15" s="1"/>
  <c r="G150" i="15" l="1"/>
  <c r="H150" i="15" s="1"/>
  <c r="E6" i="66"/>
  <c r="E12" i="66"/>
  <c r="E18" i="66"/>
  <c r="G151" i="15" l="1"/>
  <c r="H151" i="15" s="1"/>
  <c r="G152" i="15" l="1"/>
  <c r="H152" i="15" s="1"/>
  <c r="G153" i="15" l="1"/>
  <c r="H153" i="15" s="1"/>
  <c r="B145" i="21"/>
  <c r="M106" i="21"/>
  <c r="L106" i="21"/>
  <c r="K106" i="21"/>
  <c r="J106" i="21"/>
  <c r="I106" i="21"/>
  <c r="H106" i="21"/>
  <c r="G106" i="21"/>
  <c r="F106" i="21"/>
  <c r="E106" i="21"/>
  <c r="D106" i="21"/>
  <c r="F58" i="21"/>
  <c r="F35" i="21"/>
  <c r="E35" i="21"/>
  <c r="D35" i="21"/>
  <c r="A35" i="21"/>
  <c r="A44" i="21" s="1"/>
  <c r="G34" i="21"/>
  <c r="G33" i="21"/>
  <c r="N24" i="21"/>
  <c r="A13" i="21"/>
  <c r="A14" i="21" s="1"/>
  <c r="A15" i="21" s="1"/>
  <c r="A16" i="21" s="1"/>
  <c r="A17" i="21" s="1"/>
  <c r="A18" i="21" s="1"/>
  <c r="A19" i="21" s="1"/>
  <c r="A20" i="21" s="1"/>
  <c r="A21" i="21" s="1"/>
  <c r="A22" i="21" s="1"/>
  <c r="A23" i="21" s="1"/>
  <c r="A24" i="21" s="1"/>
  <c r="N12" i="21"/>
  <c r="G154" i="15" l="1"/>
  <c r="H154" i="15" s="1"/>
  <c r="G35" i="21"/>
  <c r="B148" i="21"/>
  <c r="A25" i="21"/>
  <c r="A33" i="21" s="1"/>
  <c r="N106" i="21"/>
  <c r="A45" i="21"/>
  <c r="H46" i="21" s="1"/>
  <c r="E23" i="4"/>
  <c r="F23" i="4"/>
  <c r="G23" i="4"/>
  <c r="H23" i="4"/>
  <c r="I23" i="4"/>
  <c r="J23" i="4"/>
  <c r="K23" i="4"/>
  <c r="L23" i="4"/>
  <c r="L85" i="4"/>
  <c r="K85" i="4"/>
  <c r="J85" i="4"/>
  <c r="I85" i="4"/>
  <c r="H85" i="4"/>
  <c r="G85" i="4"/>
  <c r="F85" i="4"/>
  <c r="E85" i="4"/>
  <c r="D92" i="4"/>
  <c r="M85" i="4" l="1"/>
  <c r="B144" i="21"/>
  <c r="H35" i="21"/>
  <c r="G58" i="21"/>
  <c r="A46" i="21"/>
  <c r="D182" i="4"/>
  <c r="C182" i="4"/>
  <c r="L141" i="4"/>
  <c r="K141" i="4"/>
  <c r="J141" i="4"/>
  <c r="I141" i="4"/>
  <c r="H141" i="4"/>
  <c r="G141" i="4"/>
  <c r="F141" i="4"/>
  <c r="E141" i="4"/>
  <c r="D141" i="4"/>
  <c r="C141" i="4"/>
  <c r="L140" i="4"/>
  <c r="K140" i="4"/>
  <c r="J140" i="4"/>
  <c r="I140" i="4"/>
  <c r="H140" i="4"/>
  <c r="G140" i="4"/>
  <c r="F140" i="4"/>
  <c r="E140" i="4"/>
  <c r="D140" i="4"/>
  <c r="C140" i="4"/>
  <c r="L139" i="4"/>
  <c r="K139" i="4"/>
  <c r="J139" i="4"/>
  <c r="I139" i="4"/>
  <c r="H139" i="4"/>
  <c r="G139" i="4"/>
  <c r="F139" i="4"/>
  <c r="E139" i="4"/>
  <c r="D139" i="4"/>
  <c r="C139" i="4"/>
  <c r="L138" i="4"/>
  <c r="K138" i="4"/>
  <c r="J138" i="4"/>
  <c r="I138" i="4"/>
  <c r="H138" i="4"/>
  <c r="G138" i="4"/>
  <c r="F138" i="4"/>
  <c r="E138" i="4"/>
  <c r="D138" i="4"/>
  <c r="C138" i="4"/>
  <c r="L137" i="4"/>
  <c r="K137" i="4"/>
  <c r="J137" i="4"/>
  <c r="I137" i="4"/>
  <c r="H137" i="4"/>
  <c r="G137" i="4"/>
  <c r="F137" i="4"/>
  <c r="E137" i="4"/>
  <c r="D137" i="4"/>
  <c r="C137" i="4"/>
  <c r="L136" i="4"/>
  <c r="K136" i="4"/>
  <c r="J136" i="4"/>
  <c r="I136" i="4"/>
  <c r="H136" i="4"/>
  <c r="G136" i="4"/>
  <c r="F136" i="4"/>
  <c r="E136" i="4"/>
  <c r="D136" i="4"/>
  <c r="C136" i="4"/>
  <c r="L135" i="4"/>
  <c r="K135" i="4"/>
  <c r="J135" i="4"/>
  <c r="I135" i="4"/>
  <c r="H135" i="4"/>
  <c r="G135" i="4"/>
  <c r="F135" i="4"/>
  <c r="E135" i="4"/>
  <c r="D135" i="4"/>
  <c r="C135" i="4"/>
  <c r="L134" i="4"/>
  <c r="K134" i="4"/>
  <c r="J134" i="4"/>
  <c r="I134" i="4"/>
  <c r="H134" i="4"/>
  <c r="G134" i="4"/>
  <c r="F134" i="4"/>
  <c r="E134" i="4"/>
  <c r="D134" i="4"/>
  <c r="C134" i="4"/>
  <c r="L133" i="4"/>
  <c r="K133" i="4"/>
  <c r="J133" i="4"/>
  <c r="I133" i="4"/>
  <c r="H133" i="4"/>
  <c r="G133" i="4"/>
  <c r="F133" i="4"/>
  <c r="E133" i="4"/>
  <c r="D133" i="4"/>
  <c r="C133" i="4"/>
  <c r="L132" i="4"/>
  <c r="K132" i="4"/>
  <c r="J132" i="4"/>
  <c r="I132" i="4"/>
  <c r="H132" i="4"/>
  <c r="G132" i="4"/>
  <c r="F132" i="4"/>
  <c r="E132" i="4"/>
  <c r="D132" i="4"/>
  <c r="C132" i="4"/>
  <c r="L131" i="4"/>
  <c r="K131" i="4"/>
  <c r="J131" i="4"/>
  <c r="I131" i="4"/>
  <c r="H131" i="4"/>
  <c r="G131" i="4"/>
  <c r="F131" i="4"/>
  <c r="E131" i="4"/>
  <c r="D131" i="4"/>
  <c r="C131" i="4"/>
  <c r="L130" i="4"/>
  <c r="K130" i="4"/>
  <c r="J130" i="4"/>
  <c r="I130" i="4"/>
  <c r="H130" i="4"/>
  <c r="G130" i="4"/>
  <c r="F130" i="4"/>
  <c r="E130" i="4"/>
  <c r="D130" i="4"/>
  <c r="C130" i="4"/>
  <c r="M123" i="4"/>
  <c r="M122" i="4"/>
  <c r="M121" i="4"/>
  <c r="M120" i="4"/>
  <c r="M119" i="4"/>
  <c r="M118" i="4"/>
  <c r="M117" i="4"/>
  <c r="M116" i="4"/>
  <c r="M115" i="4"/>
  <c r="M114" i="4"/>
  <c r="M113" i="4"/>
  <c r="M112" i="4"/>
  <c r="M111" i="4"/>
  <c r="J103" i="4"/>
  <c r="F103" i="4"/>
  <c r="F160" i="4" s="1"/>
  <c r="D103" i="4"/>
  <c r="C103" i="4"/>
  <c r="L102" i="4"/>
  <c r="K102" i="4"/>
  <c r="J102" i="4"/>
  <c r="I102" i="4"/>
  <c r="H102" i="4"/>
  <c r="G102" i="4"/>
  <c r="F102" i="4"/>
  <c r="E102" i="4"/>
  <c r="D102" i="4"/>
  <c r="C102" i="4"/>
  <c r="L101" i="4"/>
  <c r="K101" i="4"/>
  <c r="J101" i="4"/>
  <c r="I101" i="4"/>
  <c r="H101" i="4"/>
  <c r="G101" i="4"/>
  <c r="F101" i="4"/>
  <c r="E101" i="4"/>
  <c r="D101" i="4"/>
  <c r="C101" i="4"/>
  <c r="L100" i="4"/>
  <c r="K100" i="4"/>
  <c r="J100" i="4"/>
  <c r="I100" i="4"/>
  <c r="H100" i="4"/>
  <c r="G100" i="4"/>
  <c r="F100" i="4"/>
  <c r="E100" i="4"/>
  <c r="D100" i="4"/>
  <c r="C100" i="4"/>
  <c r="L99" i="4"/>
  <c r="K99" i="4"/>
  <c r="J99" i="4"/>
  <c r="I99" i="4"/>
  <c r="H99" i="4"/>
  <c r="G99" i="4"/>
  <c r="F99" i="4"/>
  <c r="E99" i="4"/>
  <c r="D99" i="4"/>
  <c r="C99" i="4"/>
  <c r="L98" i="4"/>
  <c r="K98" i="4"/>
  <c r="J98" i="4"/>
  <c r="I98" i="4"/>
  <c r="H98" i="4"/>
  <c r="G98" i="4"/>
  <c r="F98" i="4"/>
  <c r="E98" i="4"/>
  <c r="D98" i="4"/>
  <c r="C98" i="4"/>
  <c r="L97" i="4"/>
  <c r="K97" i="4"/>
  <c r="J97" i="4"/>
  <c r="I97" i="4"/>
  <c r="H97" i="4"/>
  <c r="G97" i="4"/>
  <c r="F97" i="4"/>
  <c r="E97" i="4"/>
  <c r="D97" i="4"/>
  <c r="C97" i="4"/>
  <c r="L96" i="4"/>
  <c r="K96" i="4"/>
  <c r="J96" i="4"/>
  <c r="I96" i="4"/>
  <c r="H96" i="4"/>
  <c r="G96" i="4"/>
  <c r="F96" i="4"/>
  <c r="E96" i="4"/>
  <c r="D96" i="4"/>
  <c r="C96" i="4"/>
  <c r="L95" i="4"/>
  <c r="K95" i="4"/>
  <c r="J95" i="4"/>
  <c r="I95" i="4"/>
  <c r="H95" i="4"/>
  <c r="G95" i="4"/>
  <c r="F95" i="4"/>
  <c r="E95" i="4"/>
  <c r="D95" i="4"/>
  <c r="C95" i="4"/>
  <c r="L94" i="4"/>
  <c r="K94" i="4"/>
  <c r="J94" i="4"/>
  <c r="I94" i="4"/>
  <c r="H94" i="4"/>
  <c r="G94" i="4"/>
  <c r="F94" i="4"/>
  <c r="E94" i="4"/>
  <c r="D94" i="4"/>
  <c r="C94" i="4"/>
  <c r="L93" i="4"/>
  <c r="K93" i="4"/>
  <c r="J93" i="4"/>
  <c r="I93" i="4"/>
  <c r="H93" i="4"/>
  <c r="G93" i="4"/>
  <c r="F93" i="4"/>
  <c r="E93" i="4"/>
  <c r="D93" i="4"/>
  <c r="C93" i="4"/>
  <c r="L92" i="4"/>
  <c r="K92" i="4"/>
  <c r="J92" i="4"/>
  <c r="I92" i="4"/>
  <c r="H92" i="4"/>
  <c r="G92" i="4"/>
  <c r="F92" i="4"/>
  <c r="E92" i="4"/>
  <c r="C92" i="4"/>
  <c r="L103" i="4"/>
  <c r="K103" i="4"/>
  <c r="I103" i="4"/>
  <c r="H103" i="4"/>
  <c r="G103" i="4"/>
  <c r="E103" i="4"/>
  <c r="M84" i="4"/>
  <c r="M83" i="4"/>
  <c r="M82" i="4"/>
  <c r="M81" i="4"/>
  <c r="M80" i="4"/>
  <c r="M79" i="4"/>
  <c r="M78" i="4"/>
  <c r="M77" i="4"/>
  <c r="M76" i="4"/>
  <c r="M75" i="4"/>
  <c r="M74" i="4"/>
  <c r="M73" i="4"/>
  <c r="H53" i="4"/>
  <c r="F61" i="4" s="1"/>
  <c r="H52" i="4"/>
  <c r="E36" i="4"/>
  <c r="D36" i="4"/>
  <c r="C36" i="4"/>
  <c r="F35" i="4"/>
  <c r="F34" i="4"/>
  <c r="A12" i="4"/>
  <c r="A13" i="4" s="1"/>
  <c r="A14" i="4" s="1"/>
  <c r="A15" i="4" s="1"/>
  <c r="A16" i="4" s="1"/>
  <c r="A17" i="4" s="1"/>
  <c r="A18" i="4" s="1"/>
  <c r="A19" i="4" s="1"/>
  <c r="A20" i="4" s="1"/>
  <c r="A21" i="4" s="1"/>
  <c r="A22" i="4" s="1"/>
  <c r="A23" i="4" s="1"/>
  <c r="M11" i="4"/>
  <c r="E160" i="4" l="1"/>
  <c r="C150" i="4"/>
  <c r="K150" i="4"/>
  <c r="I151" i="4"/>
  <c r="K152" i="4"/>
  <c r="E153" i="4"/>
  <c r="C154" i="4"/>
  <c r="E155" i="4"/>
  <c r="I155" i="4"/>
  <c r="K156" i="4"/>
  <c r="I157" i="4"/>
  <c r="E159" i="4"/>
  <c r="C160" i="4"/>
  <c r="K160" i="4"/>
  <c r="E149" i="4"/>
  <c r="I149" i="4"/>
  <c r="G150" i="4"/>
  <c r="E151" i="4"/>
  <c r="C152" i="4"/>
  <c r="G152" i="4"/>
  <c r="I153" i="4"/>
  <c r="G154" i="4"/>
  <c r="G156" i="4"/>
  <c r="E157" i="4"/>
  <c r="G158" i="4"/>
  <c r="I159" i="4"/>
  <c r="G160" i="4"/>
  <c r="D152" i="4"/>
  <c r="L152" i="4"/>
  <c r="I160" i="4"/>
  <c r="G157" i="4"/>
  <c r="C155" i="4"/>
  <c r="K157" i="4"/>
  <c r="C159" i="4"/>
  <c r="F36" i="4"/>
  <c r="J149" i="4"/>
  <c r="D150" i="4"/>
  <c r="H150" i="4"/>
  <c r="L150" i="4"/>
  <c r="F151" i="4"/>
  <c r="J151" i="4"/>
  <c r="H152" i="4"/>
  <c r="F153" i="4"/>
  <c r="J153" i="4"/>
  <c r="D154" i="4"/>
  <c r="H154" i="4"/>
  <c r="L154" i="4"/>
  <c r="F155" i="4"/>
  <c r="J155" i="4"/>
  <c r="D156" i="4"/>
  <c r="H156" i="4"/>
  <c r="L156" i="4"/>
  <c r="F157" i="4"/>
  <c r="J157" i="4"/>
  <c r="D158" i="4"/>
  <c r="H158" i="4"/>
  <c r="L158" i="4"/>
  <c r="F159" i="4"/>
  <c r="J159" i="4"/>
  <c r="D160" i="4"/>
  <c r="G142" i="4"/>
  <c r="G186" i="4" s="1"/>
  <c r="K142" i="4"/>
  <c r="K186" i="4" s="1"/>
  <c r="L160" i="4"/>
  <c r="E150" i="4"/>
  <c r="I150" i="4"/>
  <c r="C151" i="4"/>
  <c r="G151" i="4"/>
  <c r="K151" i="4"/>
  <c r="E152" i="4"/>
  <c r="I152" i="4"/>
  <c r="C153" i="4"/>
  <c r="G153" i="4"/>
  <c r="K153" i="4"/>
  <c r="E154" i="4"/>
  <c r="I154" i="4"/>
  <c r="G155" i="4"/>
  <c r="K155" i="4"/>
  <c r="E156" i="4"/>
  <c r="I156" i="4"/>
  <c r="C157" i="4"/>
  <c r="E158" i="4"/>
  <c r="I158" i="4"/>
  <c r="G159" i="4"/>
  <c r="K159" i="4"/>
  <c r="D142" i="4"/>
  <c r="D186" i="4" s="1"/>
  <c r="D190" i="4" s="1"/>
  <c r="H142" i="4"/>
  <c r="H186" i="4" s="1"/>
  <c r="L142" i="4"/>
  <c r="L186" i="4" s="1"/>
  <c r="H160" i="4"/>
  <c r="E142" i="4"/>
  <c r="E186" i="4" s="1"/>
  <c r="I142" i="4"/>
  <c r="I186" i="4" s="1"/>
  <c r="K154" i="4"/>
  <c r="K158" i="4"/>
  <c r="G51" i="21"/>
  <c r="A51" i="21"/>
  <c r="D149" i="4"/>
  <c r="L149" i="4"/>
  <c r="F150" i="4"/>
  <c r="J150" i="4"/>
  <c r="D151" i="4"/>
  <c r="H151" i="4"/>
  <c r="L151" i="4"/>
  <c r="F152" i="4"/>
  <c r="J152" i="4"/>
  <c r="D153" i="4"/>
  <c r="H153" i="4"/>
  <c r="L153" i="4"/>
  <c r="F154" i="4"/>
  <c r="J154" i="4"/>
  <c r="D155" i="4"/>
  <c r="H155" i="4"/>
  <c r="L155" i="4"/>
  <c r="F156" i="4"/>
  <c r="J156" i="4"/>
  <c r="D157" i="4"/>
  <c r="H157" i="4"/>
  <c r="L157" i="4"/>
  <c r="F158" i="4"/>
  <c r="J158" i="4"/>
  <c r="D159" i="4"/>
  <c r="H159" i="4"/>
  <c r="L159" i="4"/>
  <c r="J160" i="4"/>
  <c r="M131" i="4"/>
  <c r="M133" i="4"/>
  <c r="M135" i="4"/>
  <c r="M137" i="4"/>
  <c r="M139" i="4"/>
  <c r="M141" i="4"/>
  <c r="F142" i="4"/>
  <c r="F186" i="4" s="1"/>
  <c r="J142" i="4"/>
  <c r="J186" i="4" s="1"/>
  <c r="C156" i="4"/>
  <c r="M99" i="4"/>
  <c r="M101" i="4"/>
  <c r="F104" i="4"/>
  <c r="C158" i="4"/>
  <c r="M97" i="4"/>
  <c r="C104" i="4"/>
  <c r="F56" i="4"/>
  <c r="H104" i="4"/>
  <c r="J104" i="4"/>
  <c r="F149" i="4"/>
  <c r="G104" i="4"/>
  <c r="K104" i="4"/>
  <c r="M100" i="4"/>
  <c r="D104" i="4"/>
  <c r="L104" i="4"/>
  <c r="M130" i="4"/>
  <c r="M134" i="4"/>
  <c r="M138" i="4"/>
  <c r="H149" i="4"/>
  <c r="B230" i="4"/>
  <c r="A24" i="4"/>
  <c r="M103" i="4"/>
  <c r="M98" i="4"/>
  <c r="M102" i="4"/>
  <c r="M132" i="4"/>
  <c r="M136" i="4"/>
  <c r="M140" i="4"/>
  <c r="M92" i="4"/>
  <c r="M93" i="4"/>
  <c r="M94" i="4"/>
  <c r="M95" i="4"/>
  <c r="M96" i="4"/>
  <c r="E104" i="4"/>
  <c r="I104" i="4"/>
  <c r="C142" i="4"/>
  <c r="C186" i="4" s="1"/>
  <c r="C190" i="4" s="1"/>
  <c r="C149" i="4"/>
  <c r="G149" i="4"/>
  <c r="K149" i="4"/>
  <c r="J313" i="49"/>
  <c r="E161" i="4" l="1"/>
  <c r="E168" i="4" s="1"/>
  <c r="F91" i="21" s="1"/>
  <c r="M154" i="4"/>
  <c r="M153" i="4"/>
  <c r="M159" i="4"/>
  <c r="M155" i="4"/>
  <c r="M151" i="4"/>
  <c r="M150" i="4"/>
  <c r="I161" i="4"/>
  <c r="I169" i="4" s="1"/>
  <c r="J92" i="21" s="1"/>
  <c r="M104" i="4"/>
  <c r="L161" i="4"/>
  <c r="L172" i="4" s="1"/>
  <c r="M95" i="21" s="1"/>
  <c r="M160" i="4"/>
  <c r="M158" i="4"/>
  <c r="M157" i="4"/>
  <c r="L170" i="4"/>
  <c r="M93" i="21" s="1"/>
  <c r="M152" i="4"/>
  <c r="A52" i="21"/>
  <c r="A53" i="21" s="1"/>
  <c r="A58" i="21" s="1"/>
  <c r="J161" i="4"/>
  <c r="J167" i="4" s="1"/>
  <c r="K90" i="21" s="1"/>
  <c r="M156" i="4"/>
  <c r="D161" i="4"/>
  <c r="D173" i="4" s="1"/>
  <c r="E96" i="21" s="1"/>
  <c r="F161" i="4"/>
  <c r="K161" i="4"/>
  <c r="K166" i="4" s="1"/>
  <c r="L89" i="21" s="1"/>
  <c r="L174" i="4"/>
  <c r="M97" i="21" s="1"/>
  <c r="M142" i="4"/>
  <c r="M186" i="4" s="1"/>
  <c r="E172" i="4"/>
  <c r="F95" i="21" s="1"/>
  <c r="L168" i="4"/>
  <c r="M91" i="21" s="1"/>
  <c r="G161" i="4"/>
  <c r="G166" i="4" s="1"/>
  <c r="H89" i="21" s="1"/>
  <c r="A34" i="4"/>
  <c r="H161" i="4"/>
  <c r="H166" i="4" s="1"/>
  <c r="I89" i="21" s="1"/>
  <c r="M149" i="4"/>
  <c r="C161" i="4"/>
  <c r="C166" i="4" s="1"/>
  <c r="D89" i="21" s="1"/>
  <c r="L167" i="4" l="1"/>
  <c r="M90" i="21" s="1"/>
  <c r="G53" i="21"/>
  <c r="J177" i="4"/>
  <c r="K100" i="21" s="1"/>
  <c r="I170" i="4"/>
  <c r="J93" i="21" s="1"/>
  <c r="L171" i="4"/>
  <c r="M94" i="21" s="1"/>
  <c r="I166" i="4"/>
  <c r="J89" i="21" s="1"/>
  <c r="J166" i="4"/>
  <c r="K89" i="21" s="1"/>
  <c r="L173" i="4"/>
  <c r="M96" i="21" s="1"/>
  <c r="J171" i="4"/>
  <c r="K94" i="21" s="1"/>
  <c r="L166" i="4"/>
  <c r="M89" i="21" s="1"/>
  <c r="J170" i="4"/>
  <c r="K93" i="21" s="1"/>
  <c r="J176" i="4"/>
  <c r="K99" i="21" s="1"/>
  <c r="L177" i="4"/>
  <c r="M100" i="21" s="1"/>
  <c r="L169" i="4"/>
  <c r="M92" i="21" s="1"/>
  <c r="J175" i="4"/>
  <c r="K98" i="21" s="1"/>
  <c r="D168" i="4"/>
  <c r="E91" i="21" s="1"/>
  <c r="E171" i="4"/>
  <c r="F94" i="21" s="1"/>
  <c r="D174" i="4"/>
  <c r="E97" i="21" s="1"/>
  <c r="E177" i="4"/>
  <c r="F100" i="21" s="1"/>
  <c r="E176" i="4"/>
  <c r="F99" i="21" s="1"/>
  <c r="E166" i="4"/>
  <c r="F89" i="21" s="1"/>
  <c r="E169" i="4"/>
  <c r="F92" i="21" s="1"/>
  <c r="D171" i="4"/>
  <c r="J174" i="4"/>
  <c r="K97" i="21" s="1"/>
  <c r="E170" i="4"/>
  <c r="F93" i="21" s="1"/>
  <c r="E167" i="4"/>
  <c r="F90" i="21" s="1"/>
  <c r="E173" i="4"/>
  <c r="F96" i="21" s="1"/>
  <c r="E174" i="4"/>
  <c r="F97" i="21" s="1"/>
  <c r="E175" i="4"/>
  <c r="F98" i="21" s="1"/>
  <c r="J173" i="4"/>
  <c r="K96" i="21" s="1"/>
  <c r="I168" i="4"/>
  <c r="J91" i="21" s="1"/>
  <c r="I171" i="4"/>
  <c r="J94" i="21" s="1"/>
  <c r="I173" i="4"/>
  <c r="J96" i="21" s="1"/>
  <c r="I177" i="4"/>
  <c r="J100" i="21" s="1"/>
  <c r="I172" i="4"/>
  <c r="J95" i="21" s="1"/>
  <c r="J169" i="4"/>
  <c r="K92" i="21" s="1"/>
  <c r="J168" i="4"/>
  <c r="K91" i="21" s="1"/>
  <c r="D204" i="4"/>
  <c r="I175" i="4"/>
  <c r="J98" i="21" s="1"/>
  <c r="I167" i="4"/>
  <c r="J90" i="21" s="1"/>
  <c r="I176" i="4"/>
  <c r="J99" i="21" s="1"/>
  <c r="I174" i="4"/>
  <c r="J97" i="21" s="1"/>
  <c r="J172" i="4"/>
  <c r="K95" i="21" s="1"/>
  <c r="C197" i="4"/>
  <c r="C12" i="4" s="1"/>
  <c r="M161" i="4"/>
  <c r="L176" i="4"/>
  <c r="M99" i="21" s="1"/>
  <c r="L175" i="4"/>
  <c r="M98" i="21" s="1"/>
  <c r="A59" i="21"/>
  <c r="A60" i="21" s="1"/>
  <c r="A70" i="21" s="1"/>
  <c r="A71" i="21" s="1"/>
  <c r="A72" i="21" s="1"/>
  <c r="A73" i="21" s="1"/>
  <c r="A74" i="21" s="1"/>
  <c r="A75" i="21" s="1"/>
  <c r="A76" i="21" s="1"/>
  <c r="A77" i="21" s="1"/>
  <c r="A78" i="21" s="1"/>
  <c r="A79" i="21" s="1"/>
  <c r="A80" i="21" s="1"/>
  <c r="A81" i="21" s="1"/>
  <c r="A82" i="21" s="1"/>
  <c r="D166" i="4"/>
  <c r="D177" i="4"/>
  <c r="D167" i="4"/>
  <c r="D169" i="4"/>
  <c r="D175" i="4"/>
  <c r="D176" i="4"/>
  <c r="D172" i="4"/>
  <c r="D170" i="4"/>
  <c r="B222" i="4"/>
  <c r="A35" i="4"/>
  <c r="F174" i="4"/>
  <c r="G97" i="21" s="1"/>
  <c r="F173" i="4"/>
  <c r="G96" i="21" s="1"/>
  <c r="F171" i="4"/>
  <c r="G94" i="21" s="1"/>
  <c r="F175" i="4"/>
  <c r="G98" i="21" s="1"/>
  <c r="F170" i="4"/>
  <c r="G93" i="21" s="1"/>
  <c r="F177" i="4"/>
  <c r="G100" i="21" s="1"/>
  <c r="F176" i="4"/>
  <c r="G99" i="21" s="1"/>
  <c r="F167" i="4"/>
  <c r="G90" i="21" s="1"/>
  <c r="F169" i="4"/>
  <c r="G92" i="21" s="1"/>
  <c r="F168" i="4"/>
  <c r="G91" i="21" s="1"/>
  <c r="F172" i="4"/>
  <c r="G95" i="21" s="1"/>
  <c r="C167" i="4"/>
  <c r="C170" i="4"/>
  <c r="C172" i="4"/>
  <c r="C176" i="4"/>
  <c r="C177" i="4"/>
  <c r="C174" i="4"/>
  <c r="C173" i="4"/>
  <c r="C168" i="4"/>
  <c r="C175" i="4"/>
  <c r="C169" i="4"/>
  <c r="C171" i="4"/>
  <c r="H170" i="4"/>
  <c r="I93" i="21" s="1"/>
  <c r="H177" i="4"/>
  <c r="I100" i="21" s="1"/>
  <c r="H169" i="4"/>
  <c r="I92" i="21" s="1"/>
  <c r="H172" i="4"/>
  <c r="I95" i="21" s="1"/>
  <c r="H171" i="4"/>
  <c r="I94" i="21" s="1"/>
  <c r="H175" i="4"/>
  <c r="I98" i="21" s="1"/>
  <c r="H173" i="4"/>
  <c r="I96" i="21" s="1"/>
  <c r="H168" i="4"/>
  <c r="I91" i="21" s="1"/>
  <c r="H167" i="4"/>
  <c r="I90" i="21" s="1"/>
  <c r="H174" i="4"/>
  <c r="I97" i="21" s="1"/>
  <c r="H176" i="4"/>
  <c r="I99" i="21" s="1"/>
  <c r="G168" i="4"/>
  <c r="H91" i="21" s="1"/>
  <c r="G170" i="4"/>
  <c r="H93" i="21" s="1"/>
  <c r="G169" i="4"/>
  <c r="H92" i="21" s="1"/>
  <c r="G172" i="4"/>
  <c r="H95" i="21" s="1"/>
  <c r="G177" i="4"/>
  <c r="H100" i="21" s="1"/>
  <c r="G167" i="4"/>
  <c r="H90" i="21" s="1"/>
  <c r="G171" i="4"/>
  <c r="H94" i="21" s="1"/>
  <c r="G175" i="4"/>
  <c r="H98" i="21" s="1"/>
  <c r="G173" i="4"/>
  <c r="H96" i="21" s="1"/>
  <c r="G174" i="4"/>
  <c r="H97" i="21" s="1"/>
  <c r="G176" i="4"/>
  <c r="H99" i="21" s="1"/>
  <c r="K175" i="4"/>
  <c r="L98" i="21" s="1"/>
  <c r="K171" i="4"/>
  <c r="L94" i="21" s="1"/>
  <c r="K168" i="4"/>
  <c r="L91" i="21" s="1"/>
  <c r="K173" i="4"/>
  <c r="L96" i="21" s="1"/>
  <c r="K170" i="4"/>
  <c r="L93" i="21" s="1"/>
  <c r="K169" i="4"/>
  <c r="L92" i="21" s="1"/>
  <c r="K167" i="4"/>
  <c r="L90" i="21" s="1"/>
  <c r="K172" i="4"/>
  <c r="L95" i="21" s="1"/>
  <c r="K176" i="4"/>
  <c r="L99" i="21" s="1"/>
  <c r="K177" i="4"/>
  <c r="L100" i="21" s="1"/>
  <c r="K174" i="4"/>
  <c r="L97" i="21" s="1"/>
  <c r="F166" i="4"/>
  <c r="G89" i="21" s="1"/>
  <c r="D205" i="4" l="1"/>
  <c r="D199" i="4"/>
  <c r="E94" i="21"/>
  <c r="D202" i="4"/>
  <c r="D92" i="21"/>
  <c r="C200" i="4"/>
  <c r="D97" i="21"/>
  <c r="C205" i="4"/>
  <c r="D93" i="21"/>
  <c r="C201" i="4"/>
  <c r="E95" i="21"/>
  <c r="D203" i="4"/>
  <c r="E90" i="21"/>
  <c r="D198" i="4"/>
  <c r="D98" i="21"/>
  <c r="C206" i="4"/>
  <c r="D100" i="21"/>
  <c r="C208" i="4"/>
  <c r="D90" i="21"/>
  <c r="C198" i="4"/>
  <c r="C13" i="4" s="1"/>
  <c r="E99" i="21"/>
  <c r="D207" i="4"/>
  <c r="E100" i="21"/>
  <c r="D208" i="4"/>
  <c r="D91" i="21"/>
  <c r="C199" i="4"/>
  <c r="D99" i="21"/>
  <c r="C207" i="4"/>
  <c r="E98" i="21"/>
  <c r="D206" i="4"/>
  <c r="E89" i="21"/>
  <c r="D197" i="4"/>
  <c r="D12" i="4" s="1"/>
  <c r="D94" i="21"/>
  <c r="C202" i="4"/>
  <c r="D96" i="21"/>
  <c r="C204" i="4"/>
  <c r="D95" i="21"/>
  <c r="C203" i="4"/>
  <c r="E93" i="21"/>
  <c r="D201" i="4"/>
  <c r="E92" i="21"/>
  <c r="D200" i="4"/>
  <c r="B149" i="21"/>
  <c r="A89" i="21"/>
  <c r="A90" i="21" s="1"/>
  <c r="A91" i="21" s="1"/>
  <c r="A92" i="21" s="1"/>
  <c r="A93" i="21" s="1"/>
  <c r="A94" i="21" s="1"/>
  <c r="A95" i="21" s="1"/>
  <c r="A96" i="21" s="1"/>
  <c r="A97" i="21" s="1"/>
  <c r="A98" i="21" s="1"/>
  <c r="A99" i="21" s="1"/>
  <c r="A100" i="21" s="1"/>
  <c r="A106" i="21" s="1"/>
  <c r="G60" i="21"/>
  <c r="B223" i="4"/>
  <c r="A36" i="4"/>
  <c r="E43" i="4"/>
  <c r="D13" i="4" l="1"/>
  <c r="D14" i="4" s="1"/>
  <c r="D15" i="4" s="1"/>
  <c r="D16" i="4" s="1"/>
  <c r="D17" i="4" s="1"/>
  <c r="D18" i="4" s="1"/>
  <c r="D19" i="4" s="1"/>
  <c r="D20" i="4" s="1"/>
  <c r="D21" i="4" s="1"/>
  <c r="D22" i="4" s="1"/>
  <c r="C14" i="4"/>
  <c r="C15" i="4" s="1"/>
  <c r="C16" i="4" s="1"/>
  <c r="C17" i="4" s="1"/>
  <c r="C18" i="4" s="1"/>
  <c r="C19" i="4" s="1"/>
  <c r="C20" i="4" s="1"/>
  <c r="C21" i="4" s="1"/>
  <c r="C22" i="4" s="1"/>
  <c r="A109" i="21"/>
  <c r="A112" i="21" s="1"/>
  <c r="A119" i="21" s="1"/>
  <c r="A120" i="21" s="1"/>
  <c r="A121" i="21" s="1"/>
  <c r="A122" i="21" s="1"/>
  <c r="A123" i="21" s="1"/>
  <c r="A124" i="21" s="1"/>
  <c r="A125" i="21" s="1"/>
  <c r="A126" i="21" s="1"/>
  <c r="A127" i="21" s="1"/>
  <c r="A128" i="21" s="1"/>
  <c r="A129" i="21" s="1"/>
  <c r="A130" i="21" s="1"/>
  <c r="A131" i="21" s="1"/>
  <c r="A42" i="4"/>
  <c r="A43" i="4" s="1"/>
  <c r="A52" i="4" s="1"/>
  <c r="E42" i="4"/>
  <c r="C12" i="46"/>
  <c r="B150" i="21" l="1"/>
  <c r="A53" i="4"/>
  <c r="G61" i="4" l="1"/>
  <c r="A56" i="4"/>
  <c r="G56" i="4"/>
  <c r="A57" i="4" l="1"/>
  <c r="A58" i="4" s="1"/>
  <c r="A61" i="4" s="1"/>
  <c r="A62" i="4" l="1"/>
  <c r="A63" i="4" s="1"/>
  <c r="A73" i="4" s="1"/>
  <c r="A74" i="4" s="1"/>
  <c r="A75" i="4" s="1"/>
  <c r="A76" i="4" s="1"/>
  <c r="A77" i="4" s="1"/>
  <c r="A78" i="4" s="1"/>
  <c r="A79" i="4" s="1"/>
  <c r="A80" i="4" s="1"/>
  <c r="A81" i="4" s="1"/>
  <c r="A82" i="4" s="1"/>
  <c r="A83" i="4" s="1"/>
  <c r="A84" i="4" s="1"/>
  <c r="A85" i="4" s="1"/>
  <c r="A92" i="4" s="1"/>
  <c r="A93" i="4" s="1"/>
  <c r="A94" i="4" s="1"/>
  <c r="A95" i="4" s="1"/>
  <c r="A96" i="4" s="1"/>
  <c r="A97" i="4" s="1"/>
  <c r="A98" i="4" s="1"/>
  <c r="A99" i="4" s="1"/>
  <c r="A100" i="4" s="1"/>
  <c r="A101" i="4" s="1"/>
  <c r="A102" i="4" s="1"/>
  <c r="A103" i="4" s="1"/>
  <c r="A104" i="4" s="1"/>
  <c r="A111" i="4" s="1"/>
  <c r="A112" i="4" s="1"/>
  <c r="A113" i="4" s="1"/>
  <c r="A114" i="4" s="1"/>
  <c r="A115" i="4" s="1"/>
  <c r="A116" i="4" s="1"/>
  <c r="A117" i="4" s="1"/>
  <c r="A118" i="4" s="1"/>
  <c r="A119" i="4" s="1"/>
  <c r="A120" i="4" s="1"/>
  <c r="A121" i="4" s="1"/>
  <c r="A122" i="4" s="1"/>
  <c r="A123" i="4" s="1"/>
  <c r="A130" i="4" s="1"/>
  <c r="A131" i="4" s="1"/>
  <c r="A132" i="4" s="1"/>
  <c r="A133" i="4" s="1"/>
  <c r="A134" i="4" s="1"/>
  <c r="A135" i="4" s="1"/>
  <c r="A136" i="4" s="1"/>
  <c r="A137" i="4" s="1"/>
  <c r="A138" i="4" s="1"/>
  <c r="A139" i="4" s="1"/>
  <c r="A140" i="4" s="1"/>
  <c r="A141" i="4" s="1"/>
  <c r="A142" i="4" s="1"/>
  <c r="G58" i="4"/>
  <c r="G63" i="4" l="1"/>
  <c r="B231" i="4"/>
  <c r="A149" i="4"/>
  <c r="A150" i="4" l="1"/>
  <c r="A151" i="4" s="1"/>
  <c r="A152" i="4" s="1"/>
  <c r="A153" i="4" s="1"/>
  <c r="A154" i="4" s="1"/>
  <c r="A155" i="4" s="1"/>
  <c r="A156" i="4" s="1"/>
  <c r="A157" i="4" s="1"/>
  <c r="A158" i="4" s="1"/>
  <c r="A159" i="4" s="1"/>
  <c r="A160" i="4" s="1"/>
  <c r="A161" i="4" s="1"/>
  <c r="A166" i="4" s="1"/>
  <c r="A167" i="4" s="1"/>
  <c r="A168" i="4" s="1"/>
  <c r="A169" i="4" s="1"/>
  <c r="A170" i="4" s="1"/>
  <c r="A171" i="4" s="1"/>
  <c r="A172" i="4" s="1"/>
  <c r="A173" i="4" s="1"/>
  <c r="A174" i="4" s="1"/>
  <c r="A175" i="4" s="1"/>
  <c r="A176" i="4" s="1"/>
  <c r="A177" i="4" s="1"/>
  <c r="A182" i="4" s="1"/>
  <c r="B234" i="4" l="1"/>
  <c r="A186" i="4"/>
  <c r="A190" i="4" s="1"/>
  <c r="B233" i="4" s="1"/>
  <c r="A197" i="4" l="1"/>
  <c r="B232" i="4"/>
  <c r="A198" i="4" l="1"/>
  <c r="A199" i="4" s="1"/>
  <c r="A200" i="4" s="1"/>
  <c r="A201" i="4" s="1"/>
  <c r="A202" i="4" s="1"/>
  <c r="A203" i="4" s="1"/>
  <c r="A204" i="4" s="1"/>
  <c r="A205" i="4" s="1"/>
  <c r="A206" i="4" s="1"/>
  <c r="A207" i="4" s="1"/>
  <c r="A208" i="4" s="1"/>
  <c r="A209" i="4" s="1"/>
  <c r="B235" i="4" l="1"/>
  <c r="E42" i="30"/>
  <c r="E22" i="30" s="1"/>
  <c r="C57" i="22" l="1"/>
  <c r="F19" i="71" l="1"/>
  <c r="D19" i="71"/>
  <c r="D18" i="71"/>
  <c r="F69" i="22" l="1"/>
  <c r="F46" i="22" s="1"/>
  <c r="F63" i="22"/>
  <c r="F34" i="22" s="1"/>
  <c r="G69" i="22"/>
  <c r="G63" i="22"/>
  <c r="G22" i="45" l="1"/>
  <c r="C32" i="57" l="1"/>
  <c r="G20" i="45"/>
  <c r="E32" i="57" s="1"/>
  <c r="G19" i="45"/>
  <c r="G18" i="45"/>
  <c r="D32" i="57" l="1"/>
  <c r="H24" i="65" l="1"/>
  <c r="J24" i="65" s="1"/>
  <c r="L24" i="65" s="1"/>
  <c r="H130" i="53" l="1"/>
  <c r="E130" i="53"/>
  <c r="D130" i="53"/>
  <c r="C130" i="53"/>
  <c r="J128" i="53"/>
  <c r="I128" i="53"/>
  <c r="F128" i="53"/>
  <c r="J127" i="53"/>
  <c r="I127" i="53"/>
  <c r="F127" i="53"/>
  <c r="J126" i="53"/>
  <c r="I126" i="53"/>
  <c r="F126" i="53"/>
  <c r="J125" i="53"/>
  <c r="I125" i="53"/>
  <c r="F125" i="53"/>
  <c r="J124" i="53"/>
  <c r="I124" i="53"/>
  <c r="F124" i="53"/>
  <c r="J123" i="53"/>
  <c r="I123" i="53"/>
  <c r="F123" i="53"/>
  <c r="J122" i="53"/>
  <c r="I122" i="53"/>
  <c r="F122" i="53"/>
  <c r="J121" i="53"/>
  <c r="I121" i="53"/>
  <c r="F121" i="53"/>
  <c r="J120" i="53"/>
  <c r="I120" i="53"/>
  <c r="F120" i="53"/>
  <c r="J119" i="53"/>
  <c r="I119" i="53"/>
  <c r="F119" i="53"/>
  <c r="J118" i="53"/>
  <c r="I118" i="53"/>
  <c r="F118" i="53"/>
  <c r="J117" i="53"/>
  <c r="I117" i="53"/>
  <c r="F117" i="53"/>
  <c r="J116" i="53"/>
  <c r="I116" i="53"/>
  <c r="F116" i="53"/>
  <c r="J115" i="53"/>
  <c r="I115" i="53"/>
  <c r="F115" i="53"/>
  <c r="B114" i="53"/>
  <c r="A108" i="53"/>
  <c r="A109" i="53" s="1"/>
  <c r="A110" i="53" s="1"/>
  <c r="A111" i="53" s="1"/>
  <c r="A112" i="53" s="1"/>
  <c r="A113" i="53" s="1"/>
  <c r="A114" i="53" s="1"/>
  <c r="B90" i="53"/>
  <c r="B45" i="53"/>
  <c r="I38" i="53"/>
  <c r="D38" i="53"/>
  <c r="I37" i="53"/>
  <c r="D37" i="53"/>
  <c r="I36" i="53"/>
  <c r="D36" i="53"/>
  <c r="A29" i="53"/>
  <c r="A30" i="53" s="1"/>
  <c r="A31" i="53" s="1"/>
  <c r="A32" i="53" s="1"/>
  <c r="A33" i="53" s="1"/>
  <c r="A34" i="53" s="1"/>
  <c r="I28" i="53"/>
  <c r="H28" i="53"/>
  <c r="G28" i="53"/>
  <c r="F28" i="53"/>
  <c r="E28" i="53"/>
  <c r="J27" i="53"/>
  <c r="J26" i="53"/>
  <c r="J25" i="53"/>
  <c r="J24" i="53"/>
  <c r="J23" i="53"/>
  <c r="J22" i="53"/>
  <c r="J21" i="53"/>
  <c r="J20" i="53"/>
  <c r="J19" i="53"/>
  <c r="J18" i="53"/>
  <c r="J17" i="53"/>
  <c r="J16" i="53"/>
  <c r="J15" i="53"/>
  <c r="J14" i="53"/>
  <c r="J13" i="53"/>
  <c r="J12" i="53"/>
  <c r="K119" i="53" l="1"/>
  <c r="K120" i="53"/>
  <c r="L120" i="53" s="1"/>
  <c r="K121" i="53"/>
  <c r="L121" i="53" s="1"/>
  <c r="K123" i="53"/>
  <c r="K125" i="53"/>
  <c r="K127" i="53"/>
  <c r="L127" i="53" s="1"/>
  <c r="K128" i="53"/>
  <c r="L128" i="53" s="1"/>
  <c r="K117" i="53"/>
  <c r="L117" i="53" s="1"/>
  <c r="K115" i="53"/>
  <c r="L115" i="53" s="1"/>
  <c r="K122" i="53"/>
  <c r="K126" i="53"/>
  <c r="L126" i="53" s="1"/>
  <c r="F130" i="53"/>
  <c r="J130" i="53"/>
  <c r="K124" i="53"/>
  <c r="L124" i="53" s="1"/>
  <c r="K116" i="53"/>
  <c r="L116" i="53" s="1"/>
  <c r="L123" i="53"/>
  <c r="J28" i="53"/>
  <c r="I130" i="53"/>
  <c r="L119" i="53"/>
  <c r="K118" i="53"/>
  <c r="L118" i="53" s="1"/>
  <c r="L125" i="53"/>
  <c r="L122" i="53"/>
  <c r="A7" i="63"/>
  <c r="A8" i="63" s="1"/>
  <c r="A9" i="63" s="1"/>
  <c r="A10" i="63" s="1"/>
  <c r="A11" i="63" s="1"/>
  <c r="A12" i="63" s="1"/>
  <c r="A13" i="63" s="1"/>
  <c r="A14" i="63" s="1"/>
  <c r="A15" i="63" s="1"/>
  <c r="A16" i="63" s="1"/>
  <c r="A20" i="63" s="1"/>
  <c r="A21" i="63" s="1"/>
  <c r="A22"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8" i="63" s="1"/>
  <c r="A59" i="63" s="1"/>
  <c r="A60" i="63" s="1"/>
  <c r="A61" i="63" s="1"/>
  <c r="A62" i="63" s="1"/>
  <c r="A63" i="63" s="1"/>
  <c r="A64" i="63" s="1"/>
  <c r="K130" i="53" l="1"/>
  <c r="L130" i="53"/>
  <c r="M118" i="53" s="1"/>
  <c r="C16" i="53" s="1"/>
  <c r="M122" i="53" l="1"/>
  <c r="C20" i="53" s="1"/>
  <c r="M115" i="53"/>
  <c r="C12" i="53" s="1"/>
  <c r="M117" i="53"/>
  <c r="C15" i="53" s="1"/>
  <c r="M121" i="53"/>
  <c r="C19" i="53" s="1"/>
  <c r="M123" i="53"/>
  <c r="C21" i="53" s="1"/>
  <c r="M119" i="53"/>
  <c r="C17" i="53" s="1"/>
  <c r="M124" i="53"/>
  <c r="C22" i="53" s="1"/>
  <c r="M116" i="53"/>
  <c r="C13" i="53" s="1"/>
  <c r="M128" i="53"/>
  <c r="C26" i="53" s="1"/>
  <c r="M120" i="53"/>
  <c r="C18" i="53" s="1"/>
  <c r="M127" i="53"/>
  <c r="C25" i="53" s="1"/>
  <c r="M125" i="53"/>
  <c r="C23" i="53" s="1"/>
  <c r="M126" i="53"/>
  <c r="C24" i="53" s="1"/>
  <c r="H126" i="15"/>
  <c r="M130" i="53" l="1"/>
  <c r="C28" i="53"/>
  <c r="H66" i="15" l="1"/>
  <c r="G66" i="15"/>
  <c r="F66" i="15"/>
  <c r="E29" i="55" l="1"/>
  <c r="D29" i="55"/>
  <c r="C29" i="55"/>
  <c r="H42" i="8" l="1"/>
  <c r="H33" i="8"/>
  <c r="G21" i="45" l="1"/>
  <c r="F27" i="65" l="1"/>
  <c r="F28" i="65"/>
  <c r="F29" i="65"/>
  <c r="F30" i="65"/>
  <c r="F31" i="65"/>
  <c r="F32" i="65"/>
  <c r="F33" i="65"/>
  <c r="F34" i="65"/>
  <c r="F35" i="65"/>
  <c r="F36" i="65"/>
  <c r="E218" i="49" l="1"/>
  <c r="D78" i="49" l="1"/>
  <c r="H76" i="49"/>
  <c r="H77" i="49"/>
  <c r="H78" i="49"/>
  <c r="G76" i="49"/>
  <c r="G77" i="49"/>
  <c r="G78" i="49"/>
  <c r="D75" i="49"/>
  <c r="O34" i="48" l="1"/>
  <c r="O35" i="48"/>
  <c r="O36" i="48"/>
  <c r="J20" i="61" l="1"/>
  <c r="M20" i="61" s="1"/>
  <c r="G20" i="61"/>
  <c r="I20" i="61" s="1"/>
  <c r="P97" i="48" l="1"/>
  <c r="P98" i="48"/>
  <c r="P99" i="48"/>
  <c r="H34" i="48"/>
  <c r="H35" i="48"/>
  <c r="G99" i="48"/>
  <c r="C34" i="48"/>
  <c r="C35" i="48"/>
  <c r="C36" i="48"/>
  <c r="C97" i="48"/>
  <c r="C98" i="48"/>
  <c r="C99" i="48"/>
  <c r="P66" i="48"/>
  <c r="P67" i="48"/>
  <c r="P68" i="48"/>
  <c r="H99" i="48" l="1"/>
  <c r="H36" i="48" s="1"/>
  <c r="I99" i="48"/>
  <c r="J99" i="48" s="1"/>
  <c r="P36" i="48"/>
  <c r="P35" i="48"/>
  <c r="P34" i="48"/>
  <c r="I34" i="48" l="1"/>
  <c r="I35" i="48"/>
  <c r="J36" i="48"/>
  <c r="I36" i="48"/>
  <c r="I399" i="49" l="1"/>
  <c r="I400" i="49"/>
  <c r="I401" i="49"/>
  <c r="E399" i="49"/>
  <c r="F399" i="49" s="1"/>
  <c r="E400" i="49"/>
  <c r="F400" i="49" s="1"/>
  <c r="E401" i="49"/>
  <c r="F401" i="49" s="1"/>
  <c r="I366" i="49"/>
  <c r="I367" i="49"/>
  <c r="I368" i="49"/>
  <c r="E366" i="49"/>
  <c r="F366" i="49" s="1"/>
  <c r="E367" i="49"/>
  <c r="F367" i="49" s="1"/>
  <c r="E368" i="49"/>
  <c r="F368" i="49" s="1"/>
  <c r="I335" i="49"/>
  <c r="I336" i="49"/>
  <c r="I337" i="49"/>
  <c r="E335" i="49"/>
  <c r="F335" i="49" s="1"/>
  <c r="E336" i="49"/>
  <c r="F336" i="49" s="1"/>
  <c r="E337" i="49"/>
  <c r="F337" i="49" s="1"/>
  <c r="I302" i="49"/>
  <c r="I303" i="49"/>
  <c r="I304" i="49"/>
  <c r="E302" i="49"/>
  <c r="F302" i="49" s="1"/>
  <c r="E303" i="49"/>
  <c r="F303" i="49" s="1"/>
  <c r="E304" i="49"/>
  <c r="F304" i="49" s="1"/>
  <c r="I271" i="49"/>
  <c r="I272" i="49"/>
  <c r="I273" i="49"/>
  <c r="E271" i="49"/>
  <c r="F271" i="49" s="1"/>
  <c r="E272" i="49"/>
  <c r="F272" i="49" s="1"/>
  <c r="E273" i="49"/>
  <c r="F273" i="49" s="1"/>
  <c r="I238" i="49"/>
  <c r="I239" i="49"/>
  <c r="I240" i="49"/>
  <c r="E238" i="49"/>
  <c r="F238" i="49" s="1"/>
  <c r="E239" i="49"/>
  <c r="F239" i="49" s="1"/>
  <c r="E240" i="49"/>
  <c r="F240" i="49" s="1"/>
  <c r="I207" i="49"/>
  <c r="I208" i="49"/>
  <c r="I209" i="49"/>
  <c r="E207" i="49"/>
  <c r="F207" i="49" s="1"/>
  <c r="E208" i="49"/>
  <c r="F208" i="49" s="1"/>
  <c r="E209" i="49"/>
  <c r="F209" i="49" s="1"/>
  <c r="I174" i="49"/>
  <c r="I175" i="49"/>
  <c r="I176" i="49"/>
  <c r="E174" i="49"/>
  <c r="F174" i="49" s="1"/>
  <c r="E175" i="49"/>
  <c r="F175" i="49" s="1"/>
  <c r="E176" i="49"/>
  <c r="F176" i="49" s="1"/>
  <c r="I145" i="49"/>
  <c r="E145" i="49"/>
  <c r="F145" i="49" s="1"/>
  <c r="I143" i="49"/>
  <c r="I144" i="49"/>
  <c r="E143" i="49"/>
  <c r="F143" i="49" s="1"/>
  <c r="E144" i="49"/>
  <c r="F144" i="49" s="1"/>
  <c r="I110" i="49"/>
  <c r="I111" i="49"/>
  <c r="I112" i="49"/>
  <c r="E110" i="49"/>
  <c r="E111" i="49"/>
  <c r="E112" i="49"/>
  <c r="F66" i="48"/>
  <c r="F34" i="48" s="1"/>
  <c r="F67" i="48"/>
  <c r="F35" i="48" s="1"/>
  <c r="F68" i="48"/>
  <c r="F36" i="48" s="1"/>
  <c r="E66" i="48"/>
  <c r="E34" i="48" s="1"/>
  <c r="E67" i="48"/>
  <c r="E35" i="48" s="1"/>
  <c r="E68" i="48"/>
  <c r="E36" i="48" s="1"/>
  <c r="I76" i="49" l="1"/>
  <c r="G66" i="48" s="1"/>
  <c r="G34" i="48" s="1"/>
  <c r="I78" i="49"/>
  <c r="G68" i="48" s="1"/>
  <c r="G36" i="48" s="1"/>
  <c r="I77" i="49"/>
  <c r="G67" i="48" s="1"/>
  <c r="G35" i="48" s="1"/>
  <c r="F111" i="49"/>
  <c r="F77" i="49" s="1"/>
  <c r="E77" i="49"/>
  <c r="F112" i="49"/>
  <c r="F78" i="49" s="1"/>
  <c r="E78" i="49"/>
  <c r="F110" i="49"/>
  <c r="F76" i="49" s="1"/>
  <c r="E76" i="49"/>
  <c r="D128" i="48" l="1"/>
  <c r="D127" i="48"/>
  <c r="D126" i="48"/>
  <c r="D125" i="48"/>
  <c r="D124" i="48"/>
  <c r="D123" i="48"/>
  <c r="D122" i="48"/>
  <c r="D121" i="48"/>
  <c r="D120" i="48"/>
  <c r="D119" i="48"/>
  <c r="F231" i="61" l="1"/>
  <c r="D72" i="64"/>
  <c r="F67" i="64"/>
  <c r="F66" i="64"/>
  <c r="E67" i="64"/>
  <c r="E66" i="64"/>
  <c r="D67" i="64"/>
  <c r="D66" i="64"/>
  <c r="D24" i="64" l="1"/>
  <c r="L12" i="64"/>
  <c r="L48" i="64" s="1"/>
  <c r="M70" i="21" s="1"/>
  <c r="K12" i="64"/>
  <c r="K48" i="64" s="1"/>
  <c r="L70" i="21" s="1"/>
  <c r="J12" i="64"/>
  <c r="J48" i="64" s="1"/>
  <c r="K70" i="21" s="1"/>
  <c r="I12" i="64"/>
  <c r="I48" i="64" s="1"/>
  <c r="J70" i="21" s="1"/>
  <c r="H12" i="64"/>
  <c r="H48" i="64" s="1"/>
  <c r="I70" i="21" s="1"/>
  <c r="G12" i="64"/>
  <c r="F12" i="64"/>
  <c r="F48" i="64" s="1"/>
  <c r="G70" i="21" s="1"/>
  <c r="E12" i="64"/>
  <c r="E48" i="64" s="1"/>
  <c r="F70" i="21" s="1"/>
  <c r="D12" i="64"/>
  <c r="D48" i="64" s="1"/>
  <c r="E70" i="21" s="1"/>
  <c r="C24" i="64"/>
  <c r="C12" i="64"/>
  <c r="C48" i="64" s="1"/>
  <c r="D70" i="21" s="1"/>
  <c r="B97" i="64"/>
  <c r="H84" i="64"/>
  <c r="F68" i="64"/>
  <c r="D68" i="64"/>
  <c r="A43" i="64"/>
  <c r="A44" i="64" s="1"/>
  <c r="A45" i="64" s="1"/>
  <c r="A46" i="64" s="1"/>
  <c r="A47" i="64" s="1"/>
  <c r="A48" i="64" s="1"/>
  <c r="A13" i="64"/>
  <c r="A14" i="64" s="1"/>
  <c r="A15" i="64" s="1"/>
  <c r="A16" i="64" s="1"/>
  <c r="A17" i="64" s="1"/>
  <c r="A18" i="64" s="1"/>
  <c r="A19" i="64" s="1"/>
  <c r="A20" i="64" s="1"/>
  <c r="A21" i="64" s="1"/>
  <c r="A22" i="64" s="1"/>
  <c r="A23" i="64" s="1"/>
  <c r="A24" i="64" s="1"/>
  <c r="A25" i="64" s="1"/>
  <c r="A26" i="64" s="1"/>
  <c r="A28" i="64" s="1"/>
  <c r="G48" i="64" l="1"/>
  <c r="H70" i="21" s="1"/>
  <c r="N70" i="21" s="1"/>
  <c r="A49" i="64"/>
  <c r="A50" i="64" s="1"/>
  <c r="A51" i="64" s="1"/>
  <c r="A52" i="64" s="1"/>
  <c r="A53" i="64" s="1"/>
  <c r="A54" i="64" s="1"/>
  <c r="A55" i="64" s="1"/>
  <c r="A56" i="64" s="1"/>
  <c r="A57" i="64" s="1"/>
  <c r="A58" i="64" s="1"/>
  <c r="A59" i="64" s="1"/>
  <c r="A60" i="64" s="1"/>
  <c r="A61" i="64" s="1"/>
  <c r="A62" i="64" s="1"/>
  <c r="A63" i="64" s="1"/>
  <c r="A64" i="64" s="1"/>
  <c r="A65" i="64" s="1"/>
  <c r="A66" i="64" s="1"/>
  <c r="A67" i="64" s="1"/>
  <c r="A68" i="64" s="1"/>
  <c r="E68" i="64"/>
  <c r="E77" i="64" s="1"/>
  <c r="D77" i="64"/>
  <c r="F77" i="64"/>
  <c r="M48" i="64"/>
  <c r="G91" i="64" l="1"/>
  <c r="B146" i="21"/>
  <c r="G77" i="64"/>
  <c r="F92" i="64" s="1"/>
  <c r="B98" i="64"/>
  <c r="A69" i="64"/>
  <c r="A70" i="64" s="1"/>
  <c r="A71" i="64" s="1"/>
  <c r="A72" i="64" s="1"/>
  <c r="B99" i="64" l="1"/>
  <c r="A73" i="64"/>
  <c r="A74" i="64" s="1"/>
  <c r="A75" i="64" s="1"/>
  <c r="A76" i="64" s="1"/>
  <c r="A77" i="64" s="1"/>
  <c r="B104" i="64" s="1"/>
  <c r="G92" i="64" l="1"/>
  <c r="A78" i="64"/>
  <c r="A79" i="64" s="1"/>
  <c r="A80" i="64" s="1"/>
  <c r="A81" i="64" s="1"/>
  <c r="A82" i="64" s="1"/>
  <c r="A83" i="64" l="1"/>
  <c r="A84" i="64" s="1"/>
  <c r="A85" i="64" l="1"/>
  <c r="A86" i="64" s="1"/>
  <c r="I84" i="64"/>
  <c r="I86" i="64" l="1"/>
  <c r="G93" i="64"/>
  <c r="A87" i="64"/>
  <c r="A88" i="64" s="1"/>
  <c r="A89" i="64" s="1"/>
  <c r="A90" i="64" s="1"/>
  <c r="A91" i="64" s="1"/>
  <c r="A92" i="64" l="1"/>
  <c r="A93" i="64" s="1"/>
  <c r="A94" i="64" s="1"/>
  <c r="I127" i="1" s="1"/>
  <c r="G94" i="64" l="1"/>
  <c r="O19" i="48" l="1"/>
  <c r="J86" i="8"/>
  <c r="C117" i="48" l="1"/>
  <c r="H72" i="44" l="1"/>
  <c r="H26" i="8" l="1"/>
  <c r="I31" i="1"/>
  <c r="I37" i="79" l="1"/>
  <c r="G37" i="79"/>
  <c r="A33" i="79"/>
  <c r="A34" i="79" s="1"/>
  <c r="A35" i="79" s="1"/>
  <c r="A36" i="79" s="1"/>
  <c r="A37" i="79" s="1"/>
  <c r="A38" i="79" s="1"/>
  <c r="A39" i="79" s="1"/>
  <c r="E19" i="71" l="1"/>
  <c r="E18" i="71"/>
  <c r="D17" i="71"/>
  <c r="D16" i="71"/>
  <c r="D15" i="71"/>
  <c r="D14" i="71"/>
  <c r="D13" i="71"/>
  <c r="D12" i="71"/>
  <c r="D11" i="71"/>
  <c r="D10" i="71"/>
  <c r="D9" i="71"/>
  <c r="D57" i="7" l="1"/>
  <c r="D53" i="7"/>
  <c r="E34" i="11"/>
  <c r="E33" i="11"/>
  <c r="E32" i="11"/>
  <c r="E31" i="11"/>
  <c r="E30" i="11"/>
  <c r="E29" i="11"/>
  <c r="E28" i="11"/>
  <c r="E27" i="11"/>
  <c r="E26" i="11"/>
  <c r="I398" i="49"/>
  <c r="I397" i="49"/>
  <c r="I396" i="49"/>
  <c r="I395" i="49"/>
  <c r="I394" i="49"/>
  <c r="I393" i="49"/>
  <c r="I392" i="49"/>
  <c r="I391" i="49"/>
  <c r="I390" i="49"/>
  <c r="I389" i="49"/>
  <c r="I388" i="49"/>
  <c r="I387" i="49"/>
  <c r="I386" i="49"/>
  <c r="I385" i="49"/>
  <c r="I384" i="49"/>
  <c r="I383" i="49"/>
  <c r="I382" i="49"/>
  <c r="I381" i="49"/>
  <c r="I380" i="49"/>
  <c r="I379" i="49"/>
  <c r="I378" i="49"/>
  <c r="E398" i="49"/>
  <c r="E397" i="49"/>
  <c r="E396" i="49"/>
  <c r="E395" i="49"/>
  <c r="E394" i="49"/>
  <c r="E393" i="49"/>
  <c r="E392" i="49"/>
  <c r="E391" i="49"/>
  <c r="E390" i="49"/>
  <c r="E389" i="49"/>
  <c r="E388" i="49"/>
  <c r="E387" i="49"/>
  <c r="E386" i="49"/>
  <c r="E385" i="49"/>
  <c r="E384" i="49"/>
  <c r="E383" i="49"/>
  <c r="E382" i="49"/>
  <c r="E381" i="49"/>
  <c r="E380" i="49"/>
  <c r="E379" i="49"/>
  <c r="E378" i="49"/>
  <c r="I365" i="49"/>
  <c r="I364" i="49"/>
  <c r="I363" i="49"/>
  <c r="I362" i="49"/>
  <c r="I361" i="49"/>
  <c r="I360" i="49"/>
  <c r="I359" i="49"/>
  <c r="I358" i="49"/>
  <c r="I357" i="49"/>
  <c r="I356" i="49"/>
  <c r="I355" i="49"/>
  <c r="I354" i="49"/>
  <c r="I353" i="49"/>
  <c r="I352" i="49"/>
  <c r="I351" i="49"/>
  <c r="I350" i="49"/>
  <c r="I349" i="49"/>
  <c r="I348" i="49"/>
  <c r="I347" i="49"/>
  <c r="I346" i="49"/>
  <c r="I345" i="49"/>
  <c r="E365" i="49"/>
  <c r="E364" i="49"/>
  <c r="E363" i="49"/>
  <c r="E362" i="49"/>
  <c r="E361" i="49"/>
  <c r="E360" i="49"/>
  <c r="E359" i="49"/>
  <c r="E358" i="49"/>
  <c r="E357" i="49"/>
  <c r="E356" i="49"/>
  <c r="E355" i="49"/>
  <c r="E354" i="49"/>
  <c r="E353" i="49"/>
  <c r="E352" i="49"/>
  <c r="E351" i="49"/>
  <c r="E350" i="49"/>
  <c r="E349" i="49"/>
  <c r="E348" i="49"/>
  <c r="E347" i="49"/>
  <c r="E346" i="49"/>
  <c r="E345" i="49"/>
  <c r="I334" i="49"/>
  <c r="I333" i="49"/>
  <c r="I332" i="49"/>
  <c r="I331" i="49"/>
  <c r="I330" i="49"/>
  <c r="I329" i="49"/>
  <c r="I328" i="49"/>
  <c r="I327" i="49"/>
  <c r="I326" i="49"/>
  <c r="I325" i="49"/>
  <c r="I324" i="49"/>
  <c r="I323" i="49"/>
  <c r="I322" i="49"/>
  <c r="I321" i="49"/>
  <c r="I320" i="49"/>
  <c r="I319" i="49"/>
  <c r="I318" i="49"/>
  <c r="I317" i="49"/>
  <c r="I316" i="49"/>
  <c r="I315" i="49"/>
  <c r="I314" i="49"/>
  <c r="E334" i="49"/>
  <c r="E333" i="49"/>
  <c r="E332" i="49"/>
  <c r="E331" i="49"/>
  <c r="E330" i="49"/>
  <c r="E329" i="49"/>
  <c r="E328" i="49"/>
  <c r="E327" i="49"/>
  <c r="E326" i="49"/>
  <c r="E325" i="49"/>
  <c r="E324" i="49"/>
  <c r="E323" i="49"/>
  <c r="E322" i="49"/>
  <c r="E321" i="49"/>
  <c r="E320" i="49"/>
  <c r="E319" i="49"/>
  <c r="E318" i="49"/>
  <c r="E317" i="49"/>
  <c r="E316" i="49"/>
  <c r="E315" i="49"/>
  <c r="E314" i="49"/>
  <c r="I301" i="49"/>
  <c r="I300" i="49"/>
  <c r="I299" i="49"/>
  <c r="I298" i="49"/>
  <c r="I297" i="49"/>
  <c r="I296" i="49"/>
  <c r="I295" i="49"/>
  <c r="I294" i="49"/>
  <c r="I293" i="49"/>
  <c r="I292" i="49"/>
  <c r="I291" i="49"/>
  <c r="I290" i="49"/>
  <c r="I289" i="49"/>
  <c r="I288" i="49"/>
  <c r="I287" i="49"/>
  <c r="I286" i="49"/>
  <c r="I285" i="49"/>
  <c r="I284" i="49"/>
  <c r="I283" i="49"/>
  <c r="I282" i="49"/>
  <c r="I281" i="49"/>
  <c r="E301" i="49"/>
  <c r="E300" i="49"/>
  <c r="E299" i="49"/>
  <c r="E298" i="49"/>
  <c r="E297" i="49"/>
  <c r="E296" i="49"/>
  <c r="E295" i="49"/>
  <c r="E294" i="49"/>
  <c r="E293" i="49"/>
  <c r="E292" i="49"/>
  <c r="E291" i="49"/>
  <c r="E290" i="49"/>
  <c r="E289" i="49"/>
  <c r="E288" i="49"/>
  <c r="E287" i="49"/>
  <c r="E286" i="49"/>
  <c r="E285" i="49"/>
  <c r="E284" i="49"/>
  <c r="E283" i="49"/>
  <c r="E282" i="49"/>
  <c r="E281" i="49"/>
  <c r="I270" i="49"/>
  <c r="I269" i="49"/>
  <c r="I268" i="49"/>
  <c r="I267" i="49"/>
  <c r="I266" i="49"/>
  <c r="I265" i="49"/>
  <c r="I264" i="49"/>
  <c r="I263" i="49"/>
  <c r="I262" i="49"/>
  <c r="I261" i="49"/>
  <c r="I260" i="49"/>
  <c r="I259" i="49"/>
  <c r="I258" i="49"/>
  <c r="I257" i="49"/>
  <c r="I256" i="49"/>
  <c r="I255" i="49"/>
  <c r="I254" i="49"/>
  <c r="I253" i="49"/>
  <c r="I252" i="49"/>
  <c r="I251" i="49"/>
  <c r="I250" i="49"/>
  <c r="E270" i="49"/>
  <c r="E269" i="49"/>
  <c r="E268" i="49"/>
  <c r="E267" i="49"/>
  <c r="E266" i="49"/>
  <c r="E265" i="49"/>
  <c r="E264" i="49"/>
  <c r="E263" i="49"/>
  <c r="E262" i="49"/>
  <c r="E261" i="49"/>
  <c r="E260" i="49"/>
  <c r="E259" i="49"/>
  <c r="E258" i="49"/>
  <c r="E257" i="49"/>
  <c r="E256" i="49"/>
  <c r="E255" i="49"/>
  <c r="E254" i="49"/>
  <c r="E253" i="49"/>
  <c r="E252" i="49"/>
  <c r="E251" i="49"/>
  <c r="E250" i="49"/>
  <c r="I237" i="49"/>
  <c r="I236" i="49"/>
  <c r="I235" i="49"/>
  <c r="I234" i="49"/>
  <c r="I233" i="49"/>
  <c r="I232" i="49"/>
  <c r="I231" i="49"/>
  <c r="I230" i="49"/>
  <c r="I229" i="49"/>
  <c r="I228" i="49"/>
  <c r="I227" i="49"/>
  <c r="I226" i="49"/>
  <c r="I225" i="49"/>
  <c r="I224" i="49"/>
  <c r="I223" i="49"/>
  <c r="I222" i="49"/>
  <c r="I221" i="49"/>
  <c r="I220" i="49"/>
  <c r="I219" i="49"/>
  <c r="I218" i="49"/>
  <c r="I217" i="49"/>
  <c r="E237" i="49"/>
  <c r="E236" i="49"/>
  <c r="E235" i="49"/>
  <c r="E234" i="49"/>
  <c r="E233" i="49"/>
  <c r="E232" i="49"/>
  <c r="E231" i="49"/>
  <c r="E230" i="49"/>
  <c r="E229" i="49"/>
  <c r="E228" i="49"/>
  <c r="E227" i="49"/>
  <c r="E226" i="49"/>
  <c r="E225" i="49"/>
  <c r="E224" i="49"/>
  <c r="E223" i="49"/>
  <c r="E222" i="49"/>
  <c r="E221" i="49"/>
  <c r="E220" i="49"/>
  <c r="E219" i="49"/>
  <c r="E217" i="49"/>
  <c r="I187" i="49"/>
  <c r="I188" i="49"/>
  <c r="I189" i="49"/>
  <c r="I190" i="49"/>
  <c r="I191" i="49"/>
  <c r="I192" i="49"/>
  <c r="I193" i="49"/>
  <c r="I194" i="49"/>
  <c r="I195" i="49"/>
  <c r="I196" i="49"/>
  <c r="I197" i="49"/>
  <c r="I198" i="49"/>
  <c r="I199" i="49"/>
  <c r="I200" i="49"/>
  <c r="I201" i="49"/>
  <c r="I202" i="49"/>
  <c r="I203" i="49"/>
  <c r="I204" i="49"/>
  <c r="I205" i="49"/>
  <c r="I206" i="49"/>
  <c r="I186" i="49"/>
  <c r="E187" i="49"/>
  <c r="E188" i="49"/>
  <c r="E189" i="49"/>
  <c r="E190" i="49"/>
  <c r="E191" i="49"/>
  <c r="E192" i="49"/>
  <c r="E193" i="49"/>
  <c r="E194" i="49"/>
  <c r="E195" i="49"/>
  <c r="E196" i="49"/>
  <c r="E197" i="49"/>
  <c r="E198" i="49"/>
  <c r="E199" i="49"/>
  <c r="E200" i="49"/>
  <c r="E201" i="49"/>
  <c r="E202" i="49"/>
  <c r="E203" i="49"/>
  <c r="E204" i="49"/>
  <c r="E205" i="49"/>
  <c r="E206" i="49"/>
  <c r="E186" i="49"/>
  <c r="I173" i="49"/>
  <c r="I172" i="49"/>
  <c r="I171" i="49"/>
  <c r="I170" i="49"/>
  <c r="I169" i="49"/>
  <c r="I168" i="49"/>
  <c r="I167" i="49"/>
  <c r="I166" i="49"/>
  <c r="I165" i="49"/>
  <c r="I164" i="49"/>
  <c r="I163" i="49"/>
  <c r="I162" i="49"/>
  <c r="I161" i="49"/>
  <c r="I160" i="49"/>
  <c r="I159" i="49"/>
  <c r="I158" i="49"/>
  <c r="I157" i="49"/>
  <c r="I156" i="49"/>
  <c r="I155" i="49"/>
  <c r="I154" i="49"/>
  <c r="I153" i="49"/>
  <c r="E173" i="49"/>
  <c r="E172" i="49"/>
  <c r="E171" i="49"/>
  <c r="E170" i="49"/>
  <c r="E169" i="49"/>
  <c r="E168" i="49"/>
  <c r="E167" i="49"/>
  <c r="E166" i="49"/>
  <c r="E165" i="49"/>
  <c r="E164" i="49"/>
  <c r="E163" i="49"/>
  <c r="E162" i="49"/>
  <c r="E161" i="49"/>
  <c r="E160" i="49"/>
  <c r="E159" i="49"/>
  <c r="E158" i="49"/>
  <c r="E157" i="49"/>
  <c r="E156" i="49"/>
  <c r="E155" i="49"/>
  <c r="E154" i="49"/>
  <c r="I142" i="49"/>
  <c r="I141" i="49"/>
  <c r="I140" i="49"/>
  <c r="I139" i="49"/>
  <c r="I138" i="49"/>
  <c r="I137" i="49"/>
  <c r="I136" i="49"/>
  <c r="I135" i="49"/>
  <c r="I134" i="49"/>
  <c r="I133" i="49"/>
  <c r="I132" i="49"/>
  <c r="I131" i="49"/>
  <c r="I130" i="49"/>
  <c r="I129" i="49"/>
  <c r="I128" i="49"/>
  <c r="I127" i="49"/>
  <c r="I126" i="49"/>
  <c r="I125" i="49"/>
  <c r="I124" i="49"/>
  <c r="I123" i="49"/>
  <c r="I122" i="49"/>
  <c r="E142" i="49"/>
  <c r="E141" i="49"/>
  <c r="E140" i="49"/>
  <c r="E139" i="49"/>
  <c r="E138" i="49"/>
  <c r="E137" i="49"/>
  <c r="E136" i="49"/>
  <c r="E135" i="49"/>
  <c r="E134" i="49"/>
  <c r="E133" i="49"/>
  <c r="E132" i="49"/>
  <c r="E131" i="49"/>
  <c r="E130" i="49"/>
  <c r="E129" i="49"/>
  <c r="E128" i="49"/>
  <c r="E127" i="49"/>
  <c r="E126" i="49"/>
  <c r="E125" i="49"/>
  <c r="E124" i="49"/>
  <c r="E123" i="49"/>
  <c r="E122" i="49"/>
  <c r="I109" i="49"/>
  <c r="I108" i="49"/>
  <c r="I107" i="49"/>
  <c r="I106" i="49"/>
  <c r="I105" i="49"/>
  <c r="I104" i="49"/>
  <c r="I103" i="49"/>
  <c r="I102" i="49"/>
  <c r="I101" i="49"/>
  <c r="I100" i="49"/>
  <c r="I99" i="49"/>
  <c r="I98" i="49"/>
  <c r="I97" i="49"/>
  <c r="I96" i="49"/>
  <c r="I95" i="49"/>
  <c r="I94" i="49"/>
  <c r="I93" i="49"/>
  <c r="I92" i="49"/>
  <c r="I91" i="49"/>
  <c r="I90" i="49"/>
  <c r="I89" i="49"/>
  <c r="E109" i="49"/>
  <c r="E108" i="49"/>
  <c r="E107" i="49"/>
  <c r="E106" i="49"/>
  <c r="E105" i="49"/>
  <c r="E104" i="49"/>
  <c r="E103" i="49"/>
  <c r="E102" i="49"/>
  <c r="E101" i="49"/>
  <c r="E100" i="49"/>
  <c r="E99" i="49"/>
  <c r="E98" i="49"/>
  <c r="E97" i="49"/>
  <c r="E96" i="49"/>
  <c r="E95" i="49"/>
  <c r="E94" i="49"/>
  <c r="E93" i="49"/>
  <c r="E92" i="49"/>
  <c r="E91" i="49"/>
  <c r="E90" i="49"/>
  <c r="E89" i="49"/>
  <c r="E37" i="11" l="1"/>
  <c r="E75" i="49"/>
  <c r="C120" i="48"/>
  <c r="C119" i="48"/>
  <c r="C131" i="48"/>
  <c r="P52" i="48"/>
  <c r="G76" i="48"/>
  <c r="H76" i="48" s="1"/>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s="1"/>
  <c r="A16" i="48" s="1"/>
  <c r="A17" i="48" s="1"/>
  <c r="A18" i="48" s="1"/>
  <c r="A19" i="48" s="1"/>
  <c r="A20" i="48" s="1"/>
  <c r="A21" i="48" s="1"/>
  <c r="A22" i="48" s="1"/>
  <c r="A23" i="48" s="1"/>
  <c r="A24" i="48" s="1"/>
  <c r="A25" i="48" s="1"/>
  <c r="A26" i="48" s="1"/>
  <c r="A27" i="48" s="1"/>
  <c r="A28" i="48" s="1"/>
  <c r="A29" i="48" s="1"/>
  <c r="A30" i="48" s="1"/>
  <c r="A31" i="48" s="1"/>
  <c r="A32" i="48" s="1"/>
  <c r="A33" i="48" s="1"/>
  <c r="A34" i="48" s="1"/>
  <c r="A35" i="48" s="1"/>
  <c r="A36" i="48" s="1"/>
  <c r="A37" i="48" s="1"/>
  <c r="L13" i="48"/>
  <c r="C13" i="48"/>
  <c r="G75" i="48"/>
  <c r="E75" i="48"/>
  <c r="G74" i="48"/>
  <c r="F43" i="48"/>
  <c r="E73" i="48"/>
  <c r="F398" i="49"/>
  <c r="F397" i="49"/>
  <c r="F396" i="49"/>
  <c r="F395" i="49"/>
  <c r="F394" i="49"/>
  <c r="F393" i="49"/>
  <c r="F392" i="49"/>
  <c r="F391" i="49"/>
  <c r="F390" i="49"/>
  <c r="F389" i="49"/>
  <c r="F388" i="49"/>
  <c r="F387" i="49"/>
  <c r="F386" i="49"/>
  <c r="F385" i="49"/>
  <c r="F384" i="49"/>
  <c r="F383" i="49"/>
  <c r="F382" i="49"/>
  <c r="F381" i="49"/>
  <c r="F380" i="49"/>
  <c r="F379" i="49"/>
  <c r="F378" i="49"/>
  <c r="J378" i="49" s="1"/>
  <c r="K378" i="49" s="1"/>
  <c r="K376" i="49"/>
  <c r="J376" i="49"/>
  <c r="I376" i="49"/>
  <c r="H376" i="49"/>
  <c r="G376" i="49"/>
  <c r="F376" i="49"/>
  <c r="E376" i="49"/>
  <c r="D376" i="49"/>
  <c r="K375" i="49"/>
  <c r="J375" i="49"/>
  <c r="I375" i="49"/>
  <c r="H375" i="49"/>
  <c r="G375" i="49"/>
  <c r="F375" i="49"/>
  <c r="E375" i="49"/>
  <c r="D375" i="49"/>
  <c r="G374" i="49"/>
  <c r="F365" i="49"/>
  <c r="F364" i="49"/>
  <c r="F363" i="49"/>
  <c r="F362" i="49"/>
  <c r="F361" i="49"/>
  <c r="F360" i="49"/>
  <c r="F359" i="49"/>
  <c r="F358" i="49"/>
  <c r="F357" i="49"/>
  <c r="F356" i="49"/>
  <c r="F355" i="49"/>
  <c r="F354" i="49"/>
  <c r="F353" i="49"/>
  <c r="F352" i="49"/>
  <c r="F351" i="49"/>
  <c r="F350" i="49"/>
  <c r="F349" i="49"/>
  <c r="F348" i="49"/>
  <c r="F347" i="49"/>
  <c r="F346" i="49"/>
  <c r="F345" i="49"/>
  <c r="J344" i="49"/>
  <c r="K343" i="49"/>
  <c r="J343" i="49"/>
  <c r="I343" i="49"/>
  <c r="H343" i="49"/>
  <c r="G343" i="49"/>
  <c r="F343" i="49"/>
  <c r="E343" i="49"/>
  <c r="D343" i="49"/>
  <c r="K342" i="49"/>
  <c r="J342" i="49"/>
  <c r="I342" i="49"/>
  <c r="H342" i="49"/>
  <c r="G342" i="49"/>
  <c r="F342" i="49"/>
  <c r="E342" i="49"/>
  <c r="D342" i="49"/>
  <c r="G341" i="49"/>
  <c r="F334" i="49"/>
  <c r="F333" i="49"/>
  <c r="F332" i="49"/>
  <c r="F331" i="49"/>
  <c r="F330" i="49"/>
  <c r="F329" i="49"/>
  <c r="F328" i="49"/>
  <c r="F327" i="49"/>
  <c r="F326" i="49"/>
  <c r="F325" i="49"/>
  <c r="F324" i="49"/>
  <c r="F323" i="49"/>
  <c r="F322" i="49"/>
  <c r="F321" i="49"/>
  <c r="F320" i="49"/>
  <c r="F319" i="49"/>
  <c r="F318" i="49"/>
  <c r="F317" i="49"/>
  <c r="F316" i="49"/>
  <c r="F315" i="49"/>
  <c r="F314" i="49"/>
  <c r="K312" i="49"/>
  <c r="J312" i="49"/>
  <c r="I312" i="49"/>
  <c r="H312" i="49"/>
  <c r="G312" i="49"/>
  <c r="F312" i="49"/>
  <c r="E312" i="49"/>
  <c r="D312" i="49"/>
  <c r="K311" i="49"/>
  <c r="J311" i="49"/>
  <c r="I311" i="49"/>
  <c r="H311" i="49"/>
  <c r="G311" i="49"/>
  <c r="F311" i="49"/>
  <c r="E311" i="49"/>
  <c r="D311" i="49"/>
  <c r="G310" i="49"/>
  <c r="F301" i="49"/>
  <c r="F300" i="49"/>
  <c r="F299" i="49"/>
  <c r="F298" i="49"/>
  <c r="F297" i="49"/>
  <c r="I70" i="49"/>
  <c r="G60" i="48" s="1"/>
  <c r="F296" i="49"/>
  <c r="F295" i="49"/>
  <c r="F294" i="49"/>
  <c r="F293" i="49"/>
  <c r="F292" i="49"/>
  <c r="F291" i="49"/>
  <c r="F290" i="49"/>
  <c r="F289" i="49"/>
  <c r="F288" i="49"/>
  <c r="F287" i="49"/>
  <c r="F286" i="49"/>
  <c r="F285" i="49"/>
  <c r="F284" i="49"/>
  <c r="F283" i="49"/>
  <c r="F282" i="49"/>
  <c r="F281" i="49"/>
  <c r="J280" i="49"/>
  <c r="K279" i="49"/>
  <c r="J279" i="49"/>
  <c r="I279" i="49"/>
  <c r="H279" i="49"/>
  <c r="G279" i="49"/>
  <c r="F279" i="49"/>
  <c r="E279" i="49"/>
  <c r="D279" i="49"/>
  <c r="K278" i="49"/>
  <c r="J278" i="49"/>
  <c r="I278" i="49"/>
  <c r="H278" i="49"/>
  <c r="G278" i="49"/>
  <c r="F278" i="49"/>
  <c r="E278" i="49"/>
  <c r="D278" i="49"/>
  <c r="G277" i="49"/>
  <c r="F269" i="49"/>
  <c r="F268" i="49"/>
  <c r="F267" i="49"/>
  <c r="F266" i="49"/>
  <c r="F265" i="49"/>
  <c r="F264" i="49"/>
  <c r="F263" i="49"/>
  <c r="F262" i="49"/>
  <c r="F261" i="49"/>
  <c r="F260" i="49"/>
  <c r="F259" i="49"/>
  <c r="F258" i="49"/>
  <c r="F257" i="49"/>
  <c r="F256" i="49"/>
  <c r="F255" i="49"/>
  <c r="F254" i="49"/>
  <c r="E58" i="49"/>
  <c r="F252" i="49"/>
  <c r="F251" i="49"/>
  <c r="F250" i="49"/>
  <c r="J249" i="49"/>
  <c r="K248" i="49"/>
  <c r="J248" i="49"/>
  <c r="I248" i="49"/>
  <c r="H248" i="49"/>
  <c r="F248" i="49"/>
  <c r="E248" i="49"/>
  <c r="D248" i="49"/>
  <c r="K247" i="49"/>
  <c r="J247" i="49"/>
  <c r="I247" i="49"/>
  <c r="H247" i="49"/>
  <c r="F247" i="49"/>
  <c r="E247" i="49"/>
  <c r="D247" i="49"/>
  <c r="F237" i="49"/>
  <c r="F236" i="49"/>
  <c r="F235" i="49"/>
  <c r="F234" i="49"/>
  <c r="F233" i="49"/>
  <c r="F232" i="49"/>
  <c r="F231" i="49"/>
  <c r="F230" i="49"/>
  <c r="F229" i="49"/>
  <c r="F228" i="49"/>
  <c r="F227" i="49"/>
  <c r="F226" i="49"/>
  <c r="F225" i="49"/>
  <c r="F224" i="49"/>
  <c r="F223" i="49"/>
  <c r="F222" i="49"/>
  <c r="F221" i="49"/>
  <c r="F220" i="49"/>
  <c r="F219" i="49"/>
  <c r="F218" i="49"/>
  <c r="F217" i="49"/>
  <c r="J216" i="49"/>
  <c r="K215" i="49"/>
  <c r="J215" i="49"/>
  <c r="I215" i="49"/>
  <c r="H215" i="49"/>
  <c r="G215" i="49"/>
  <c r="F215" i="49"/>
  <c r="E215" i="49"/>
  <c r="D215" i="49"/>
  <c r="K214" i="49"/>
  <c r="J214" i="49"/>
  <c r="I214" i="49"/>
  <c r="H214" i="49"/>
  <c r="G214" i="49"/>
  <c r="F214" i="49"/>
  <c r="E214" i="49"/>
  <c r="D214" i="49"/>
  <c r="G213" i="49"/>
  <c r="F206" i="49"/>
  <c r="F205" i="49"/>
  <c r="F204" i="49"/>
  <c r="F203" i="49"/>
  <c r="F202" i="49"/>
  <c r="F201" i="49"/>
  <c r="F200" i="49"/>
  <c r="F199" i="49"/>
  <c r="F198" i="49"/>
  <c r="E66" i="49"/>
  <c r="F196" i="49"/>
  <c r="F195" i="49"/>
  <c r="F194" i="49"/>
  <c r="I62" i="49"/>
  <c r="G52" i="48" s="1"/>
  <c r="F193" i="49"/>
  <c r="F192" i="49"/>
  <c r="F191" i="49"/>
  <c r="F190" i="49"/>
  <c r="F189" i="49"/>
  <c r="F188" i="49"/>
  <c r="F187" i="49"/>
  <c r="F186" i="49"/>
  <c r="J185" i="49"/>
  <c r="K184" i="49"/>
  <c r="J184" i="49"/>
  <c r="I184" i="49"/>
  <c r="H184" i="49"/>
  <c r="G184" i="49"/>
  <c r="F184" i="49"/>
  <c r="E184" i="49"/>
  <c r="D184" i="49"/>
  <c r="K183" i="49"/>
  <c r="J183" i="49"/>
  <c r="I183" i="49"/>
  <c r="H183" i="49"/>
  <c r="G183" i="49"/>
  <c r="F183" i="49"/>
  <c r="E183" i="49"/>
  <c r="D183" i="49"/>
  <c r="G182" i="49"/>
  <c r="F173" i="49"/>
  <c r="F172" i="49"/>
  <c r="F171" i="49"/>
  <c r="F170" i="49"/>
  <c r="F169" i="49"/>
  <c r="F168" i="49"/>
  <c r="F167" i="49"/>
  <c r="F166" i="49"/>
  <c r="F165" i="49"/>
  <c r="F164" i="49"/>
  <c r="F163" i="49"/>
  <c r="F162" i="49"/>
  <c r="F161" i="49"/>
  <c r="F160" i="49"/>
  <c r="F159" i="49"/>
  <c r="F158" i="49"/>
  <c r="F157" i="49"/>
  <c r="F156" i="49"/>
  <c r="F155" i="49"/>
  <c r="F154" i="49"/>
  <c r="F153" i="49"/>
  <c r="J152" i="49"/>
  <c r="K151" i="49"/>
  <c r="J151" i="49"/>
  <c r="I151" i="49"/>
  <c r="H151" i="49"/>
  <c r="G151" i="49"/>
  <c r="F151" i="49"/>
  <c r="E151" i="49"/>
  <c r="D151" i="49"/>
  <c r="K150" i="49"/>
  <c r="J150" i="49"/>
  <c r="I150" i="49"/>
  <c r="H150" i="49"/>
  <c r="G150" i="49"/>
  <c r="F150" i="49"/>
  <c r="E150" i="49"/>
  <c r="D150" i="49"/>
  <c r="G149" i="49"/>
  <c r="F142" i="49"/>
  <c r="F141" i="49"/>
  <c r="F140" i="49"/>
  <c r="F139" i="49"/>
  <c r="F138" i="49"/>
  <c r="F137" i="49"/>
  <c r="F136" i="49"/>
  <c r="I68" i="49"/>
  <c r="G58" i="48" s="1"/>
  <c r="F135" i="49"/>
  <c r="F134" i="49"/>
  <c r="F133" i="49"/>
  <c r="F132" i="49"/>
  <c r="I64" i="49"/>
  <c r="G54" i="48" s="1"/>
  <c r="F131" i="49"/>
  <c r="F130" i="49"/>
  <c r="F129" i="49"/>
  <c r="F128" i="49"/>
  <c r="F127" i="49"/>
  <c r="F126" i="49"/>
  <c r="F125" i="49"/>
  <c r="F124" i="49"/>
  <c r="F123" i="49"/>
  <c r="F122" i="49"/>
  <c r="J121" i="49"/>
  <c r="K120" i="49"/>
  <c r="J120" i="49"/>
  <c r="I120" i="49"/>
  <c r="H120" i="49"/>
  <c r="G120" i="49"/>
  <c r="F120" i="49"/>
  <c r="E120" i="49"/>
  <c r="D120" i="49"/>
  <c r="K119" i="49"/>
  <c r="J119" i="49"/>
  <c r="I119" i="49"/>
  <c r="H119" i="49"/>
  <c r="G119" i="49"/>
  <c r="F119" i="49"/>
  <c r="E119" i="49"/>
  <c r="D119" i="49"/>
  <c r="G118" i="49"/>
  <c r="F109" i="49"/>
  <c r="F108" i="49"/>
  <c r="I73" i="49"/>
  <c r="G63" i="48" s="1"/>
  <c r="F106" i="49"/>
  <c r="F105" i="49"/>
  <c r="F104" i="49"/>
  <c r="F103" i="49"/>
  <c r="F102" i="49"/>
  <c r="F101" i="49"/>
  <c r="F100" i="49"/>
  <c r="I65" i="49"/>
  <c r="G55" i="48" s="1"/>
  <c r="E65" i="49"/>
  <c r="F98" i="49"/>
  <c r="I63" i="49"/>
  <c r="G53" i="48" s="1"/>
  <c r="F97" i="49"/>
  <c r="F96" i="49"/>
  <c r="F95" i="49"/>
  <c r="F94" i="49"/>
  <c r="F93" i="49"/>
  <c r="F92" i="49"/>
  <c r="I57" i="49"/>
  <c r="G47" i="48" s="1"/>
  <c r="F91" i="49"/>
  <c r="F90" i="49"/>
  <c r="F89" i="49"/>
  <c r="J88" i="49"/>
  <c r="K87" i="49"/>
  <c r="J87" i="49"/>
  <c r="I87" i="49"/>
  <c r="H87" i="49"/>
  <c r="G87" i="49"/>
  <c r="G409" i="49" s="1"/>
  <c r="F87" i="49"/>
  <c r="E87" i="49"/>
  <c r="D87" i="49"/>
  <c r="K86" i="49"/>
  <c r="J86" i="49"/>
  <c r="I86" i="49"/>
  <c r="H86" i="49"/>
  <c r="G86" i="49"/>
  <c r="G408" i="49" s="1"/>
  <c r="F86" i="49"/>
  <c r="E86" i="49"/>
  <c r="D86" i="49"/>
  <c r="G85" i="49"/>
  <c r="G407" i="49" s="1"/>
  <c r="H75" i="49"/>
  <c r="F65" i="48" s="1"/>
  <c r="F33" i="48" s="1"/>
  <c r="G75" i="49"/>
  <c r="E65" i="48" s="1"/>
  <c r="E33" i="48" s="1"/>
  <c r="I74" i="49"/>
  <c r="G64" i="48" s="1"/>
  <c r="H74" i="49"/>
  <c r="F64" i="48" s="1"/>
  <c r="F32" i="48" s="1"/>
  <c r="G74" i="49"/>
  <c r="E64" i="48" s="1"/>
  <c r="E32" i="48" s="1"/>
  <c r="E74" i="49"/>
  <c r="D74" i="49"/>
  <c r="H73" i="49"/>
  <c r="F63" i="48" s="1"/>
  <c r="F31" i="48" s="1"/>
  <c r="G73" i="49"/>
  <c r="E63" i="48" s="1"/>
  <c r="E31" i="48" s="1"/>
  <c r="D73" i="49"/>
  <c r="I72" i="49"/>
  <c r="G62" i="48" s="1"/>
  <c r="H72" i="49"/>
  <c r="F62" i="48" s="1"/>
  <c r="F30" i="48" s="1"/>
  <c r="G72" i="49"/>
  <c r="E62" i="48" s="1"/>
  <c r="E30" i="48" s="1"/>
  <c r="D72" i="49"/>
  <c r="H71" i="49"/>
  <c r="F61" i="48" s="1"/>
  <c r="F29" i="48" s="1"/>
  <c r="G71" i="49"/>
  <c r="E61" i="48" s="1"/>
  <c r="E29" i="48" s="1"/>
  <c r="E71" i="49"/>
  <c r="D71" i="49"/>
  <c r="H70" i="49"/>
  <c r="F60" i="48" s="1"/>
  <c r="F28" i="48" s="1"/>
  <c r="G70" i="49"/>
  <c r="E60" i="48" s="1"/>
  <c r="E28" i="48" s="1"/>
  <c r="E70" i="49"/>
  <c r="D70" i="49"/>
  <c r="I69" i="49"/>
  <c r="G59" i="48" s="1"/>
  <c r="H69" i="49"/>
  <c r="F59" i="48" s="1"/>
  <c r="F27" i="48" s="1"/>
  <c r="G69" i="49"/>
  <c r="E59" i="48" s="1"/>
  <c r="E27" i="48" s="1"/>
  <c r="D69" i="49"/>
  <c r="H68" i="49"/>
  <c r="F58" i="48" s="1"/>
  <c r="F26" i="48" s="1"/>
  <c r="G68" i="49"/>
  <c r="E58" i="48" s="1"/>
  <c r="E26" i="48" s="1"/>
  <c r="E68" i="49"/>
  <c r="D68" i="49"/>
  <c r="H67" i="49"/>
  <c r="F57" i="48" s="1"/>
  <c r="F25" i="48" s="1"/>
  <c r="G67" i="49"/>
  <c r="E57" i="48" s="1"/>
  <c r="E25" i="48" s="1"/>
  <c r="D67" i="49"/>
  <c r="I66" i="49"/>
  <c r="G56" i="48" s="1"/>
  <c r="H66" i="49"/>
  <c r="F56" i="48" s="1"/>
  <c r="F24" i="48" s="1"/>
  <c r="G66" i="49"/>
  <c r="E56" i="48" s="1"/>
  <c r="E24" i="48" s="1"/>
  <c r="D66" i="49"/>
  <c r="H65" i="49"/>
  <c r="F55" i="48" s="1"/>
  <c r="F23" i="48" s="1"/>
  <c r="G65" i="49"/>
  <c r="E55" i="48" s="1"/>
  <c r="E23" i="48" s="1"/>
  <c r="D65" i="49"/>
  <c r="H64" i="49"/>
  <c r="F54" i="48" s="1"/>
  <c r="F22" i="48" s="1"/>
  <c r="G64" i="49"/>
  <c r="E54" i="48" s="1"/>
  <c r="E22" i="48" s="1"/>
  <c r="E64" i="49"/>
  <c r="D64" i="49"/>
  <c r="H63" i="49"/>
  <c r="F53" i="48" s="1"/>
  <c r="F21" i="48" s="1"/>
  <c r="G63" i="49"/>
  <c r="E53" i="48" s="1"/>
  <c r="E21" i="48" s="1"/>
  <c r="E63" i="49"/>
  <c r="D63" i="49"/>
  <c r="H62" i="49"/>
  <c r="F52" i="48" s="1"/>
  <c r="F20" i="48" s="1"/>
  <c r="G62" i="49"/>
  <c r="E52" i="48" s="1"/>
  <c r="E20" i="48" s="1"/>
  <c r="E62" i="49"/>
  <c r="D62" i="49"/>
  <c r="I61" i="49"/>
  <c r="G51" i="48" s="1"/>
  <c r="H61" i="49"/>
  <c r="F51" i="48" s="1"/>
  <c r="F19" i="48" s="1"/>
  <c r="G61" i="49"/>
  <c r="E51" i="48" s="1"/>
  <c r="E19" i="48" s="1"/>
  <c r="D61" i="49"/>
  <c r="I60" i="49"/>
  <c r="G50" i="48" s="1"/>
  <c r="H60" i="49"/>
  <c r="F50" i="48" s="1"/>
  <c r="F18" i="48" s="1"/>
  <c r="G60" i="49"/>
  <c r="E50" i="48" s="1"/>
  <c r="E18" i="48" s="1"/>
  <c r="D60" i="49"/>
  <c r="H59" i="49"/>
  <c r="F49" i="48" s="1"/>
  <c r="F17" i="48" s="1"/>
  <c r="G59" i="49"/>
  <c r="E49" i="48" s="1"/>
  <c r="E17" i="48" s="1"/>
  <c r="D59" i="49"/>
  <c r="I58" i="49"/>
  <c r="G48" i="48" s="1"/>
  <c r="H58" i="49"/>
  <c r="F48" i="48" s="1"/>
  <c r="F16" i="48" s="1"/>
  <c r="G58" i="49"/>
  <c r="E48" i="48" s="1"/>
  <c r="E16" i="48" s="1"/>
  <c r="D58" i="49"/>
  <c r="H57" i="49"/>
  <c r="F47" i="48" s="1"/>
  <c r="F15" i="48" s="1"/>
  <c r="G57" i="49"/>
  <c r="E47" i="48" s="1"/>
  <c r="E15" i="48" s="1"/>
  <c r="D57" i="49"/>
  <c r="I56" i="49"/>
  <c r="G46" i="48" s="1"/>
  <c r="H56" i="49"/>
  <c r="F46" i="48" s="1"/>
  <c r="F14" i="48" s="1"/>
  <c r="G56" i="49"/>
  <c r="E46" i="48" s="1"/>
  <c r="E14" i="48" s="1"/>
  <c r="E56" i="49"/>
  <c r="D56" i="49"/>
  <c r="H55" i="49"/>
  <c r="F45" i="48" s="1"/>
  <c r="F13" i="48" s="1"/>
  <c r="G55" i="49"/>
  <c r="E45" i="48" s="1"/>
  <c r="D55" i="49"/>
  <c r="G46" i="49"/>
  <c r="F46" i="49"/>
  <c r="E46" i="49"/>
  <c r="D46" i="49"/>
  <c r="I26" i="49"/>
  <c r="H26" i="49"/>
  <c r="G26" i="49"/>
  <c r="F26" i="49"/>
  <c r="E26" i="49"/>
  <c r="A14" i="49"/>
  <c r="A15" i="49" s="1"/>
  <c r="A16" i="49" s="1"/>
  <c r="A17" i="49" s="1"/>
  <c r="A18" i="49" s="1"/>
  <c r="A19" i="49" s="1"/>
  <c r="A20" i="49" s="1"/>
  <c r="A21" i="49" s="1"/>
  <c r="A22" i="49" s="1"/>
  <c r="A23" i="49" s="1"/>
  <c r="A24" i="49" s="1"/>
  <c r="A25" i="49" s="1"/>
  <c r="H13" i="48" l="1"/>
  <c r="A45" i="48"/>
  <c r="A46" i="48" s="1"/>
  <c r="A47" i="48" s="1"/>
  <c r="A48" i="48" s="1"/>
  <c r="A49" i="48" s="1"/>
  <c r="A50" i="48" s="1"/>
  <c r="A51" i="48" s="1"/>
  <c r="A52" i="48" s="1"/>
  <c r="A53" i="48" s="1"/>
  <c r="A54" i="48" s="1"/>
  <c r="A55" i="48" s="1"/>
  <c r="A56" i="48" s="1"/>
  <c r="A57" i="48" s="1"/>
  <c r="A58" i="48" s="1"/>
  <c r="A59" i="48" s="1"/>
  <c r="A60" i="48" s="1"/>
  <c r="A61" i="48" s="1"/>
  <c r="A62" i="48" s="1"/>
  <c r="A63" i="48" s="1"/>
  <c r="A64" i="48" s="1"/>
  <c r="A65" i="48" s="1"/>
  <c r="G41" i="57"/>
  <c r="E78" i="7"/>
  <c r="J281" i="49"/>
  <c r="K281" i="49" s="1"/>
  <c r="J89" i="49"/>
  <c r="K89" i="49" s="1"/>
  <c r="J122" i="49"/>
  <c r="K122" i="49" s="1"/>
  <c r="A26" i="49"/>
  <c r="A33" i="49" s="1"/>
  <c r="A34" i="49" s="1"/>
  <c r="A35" i="49" s="1"/>
  <c r="A36" i="49" s="1"/>
  <c r="A37" i="49" s="1"/>
  <c r="A38" i="49" s="1"/>
  <c r="A39" i="49" s="1"/>
  <c r="A40" i="49" s="1"/>
  <c r="A41" i="49" s="1"/>
  <c r="A42" i="49" s="1"/>
  <c r="A43" i="49" s="1"/>
  <c r="A44" i="49" s="1"/>
  <c r="A45" i="49" s="1"/>
  <c r="E57" i="7"/>
  <c r="E46" i="7"/>
  <c r="E53" i="7"/>
  <c r="J314" i="49"/>
  <c r="J345" i="49"/>
  <c r="K345" i="49" s="1"/>
  <c r="J217" i="49"/>
  <c r="K217" i="49" s="1"/>
  <c r="J186" i="49"/>
  <c r="K186" i="49" s="1"/>
  <c r="E16" i="71"/>
  <c r="F33" i="11"/>
  <c r="E15" i="71"/>
  <c r="F32" i="11"/>
  <c r="E17" i="71"/>
  <c r="F34" i="11"/>
  <c r="E14" i="71"/>
  <c r="F31" i="11"/>
  <c r="J54" i="49"/>
  <c r="D46" i="7"/>
  <c r="E12" i="71"/>
  <c r="F29" i="11"/>
  <c r="D26" i="49"/>
  <c r="E9" i="71"/>
  <c r="F26" i="11"/>
  <c r="E13" i="71"/>
  <c r="F30" i="11"/>
  <c r="E10" i="71"/>
  <c r="F27" i="11"/>
  <c r="E11" i="71"/>
  <c r="F28" i="11"/>
  <c r="J379" i="49"/>
  <c r="F62" i="49"/>
  <c r="J250" i="49"/>
  <c r="F63" i="49"/>
  <c r="F67" i="49"/>
  <c r="F60" i="49"/>
  <c r="F69" i="49"/>
  <c r="F61" i="49"/>
  <c r="F68" i="49"/>
  <c r="F64" i="49"/>
  <c r="F59" i="49"/>
  <c r="F71" i="49"/>
  <c r="F70" i="49"/>
  <c r="F57" i="49"/>
  <c r="F55" i="49"/>
  <c r="P95" i="48"/>
  <c r="P78" i="48"/>
  <c r="F74" i="48"/>
  <c r="E44" i="48"/>
  <c r="E13" i="48"/>
  <c r="H16" i="48"/>
  <c r="P92" i="48"/>
  <c r="P79" i="48"/>
  <c r="P87" i="48"/>
  <c r="P94" i="48"/>
  <c r="H23" i="48"/>
  <c r="P54" i="48"/>
  <c r="G44" i="48"/>
  <c r="P50" i="48"/>
  <c r="P57" i="48"/>
  <c r="H15" i="48"/>
  <c r="P84" i="48"/>
  <c r="H20" i="48"/>
  <c r="H22" i="48"/>
  <c r="G28" i="48"/>
  <c r="P93" i="48"/>
  <c r="P49" i="48"/>
  <c r="P56" i="48"/>
  <c r="P58" i="48"/>
  <c r="H14" i="48"/>
  <c r="P85" i="48"/>
  <c r="G24" i="48"/>
  <c r="P91" i="48"/>
  <c r="F75" i="48"/>
  <c r="F44" i="48"/>
  <c r="O15" i="48"/>
  <c r="I76" i="48"/>
  <c r="P89" i="48"/>
  <c r="P60" i="48"/>
  <c r="P65" i="48"/>
  <c r="P76" i="48"/>
  <c r="P82" i="48"/>
  <c r="P83" i="48"/>
  <c r="P20" i="48" s="1"/>
  <c r="O28" i="48"/>
  <c r="E42" i="48"/>
  <c r="P46" i="48"/>
  <c r="P64" i="48"/>
  <c r="P77" i="48"/>
  <c r="O14" i="48"/>
  <c r="O20" i="48"/>
  <c r="P48" i="48"/>
  <c r="P62" i="48"/>
  <c r="P80" i="48"/>
  <c r="G19" i="48"/>
  <c r="P61" i="48"/>
  <c r="P53" i="48"/>
  <c r="P45" i="48"/>
  <c r="P96" i="48"/>
  <c r="P88" i="48"/>
  <c r="P59" i="48"/>
  <c r="P51" i="48"/>
  <c r="P63" i="48"/>
  <c r="P55" i="48"/>
  <c r="P47" i="48"/>
  <c r="P86" i="48"/>
  <c r="P90" i="48"/>
  <c r="E74" i="48"/>
  <c r="E43" i="48"/>
  <c r="P81" i="48"/>
  <c r="O16" i="48"/>
  <c r="O32" i="48"/>
  <c r="G43" i="48"/>
  <c r="O22" i="48"/>
  <c r="O30" i="48"/>
  <c r="F56" i="49"/>
  <c r="F72" i="49"/>
  <c r="F74" i="49"/>
  <c r="F253" i="49"/>
  <c r="F58" i="49" s="1"/>
  <c r="F270" i="49"/>
  <c r="F75" i="49" s="1"/>
  <c r="E72" i="49"/>
  <c r="I67" i="49"/>
  <c r="G57" i="48" s="1"/>
  <c r="E60" i="49"/>
  <c r="E73" i="49"/>
  <c r="I71" i="49"/>
  <c r="G61" i="48" s="1"/>
  <c r="F107" i="49"/>
  <c r="F73" i="49" s="1"/>
  <c r="I75" i="49"/>
  <c r="G65" i="48" s="1"/>
  <c r="I55" i="49"/>
  <c r="G45" i="48" s="1"/>
  <c r="K45" i="48" s="1"/>
  <c r="N45" i="48" s="1"/>
  <c r="E57" i="49"/>
  <c r="F197" i="49"/>
  <c r="F66" i="49" s="1"/>
  <c r="E55" i="49"/>
  <c r="F99" i="49"/>
  <c r="F65" i="49" s="1"/>
  <c r="E59" i="49"/>
  <c r="E67" i="49"/>
  <c r="I59" i="49"/>
  <c r="G49" i="48" s="1"/>
  <c r="E61" i="49"/>
  <c r="E69" i="49"/>
  <c r="J153" i="49"/>
  <c r="K153" i="49" s="1"/>
  <c r="J90" i="49" l="1"/>
  <c r="K90" i="49" s="1"/>
  <c r="F37" i="11"/>
  <c r="M13" i="48"/>
  <c r="J55" i="49"/>
  <c r="J380" i="49"/>
  <c r="K380" i="49" s="1"/>
  <c r="K379" i="49"/>
  <c r="J315" i="49"/>
  <c r="K315" i="49" s="1"/>
  <c r="K314" i="49"/>
  <c r="J251" i="49"/>
  <c r="K251" i="49" s="1"/>
  <c r="K250" i="49"/>
  <c r="P24" i="48"/>
  <c r="J282" i="49"/>
  <c r="K282" i="49" s="1"/>
  <c r="A66" i="48"/>
  <c r="A67" i="48" s="1"/>
  <c r="A68"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3" i="48" s="1"/>
  <c r="J187" i="49"/>
  <c r="K187" i="49" s="1"/>
  <c r="J123" i="49"/>
  <c r="A46" i="49"/>
  <c r="A54" i="49" s="1"/>
  <c r="A55" i="49" s="1"/>
  <c r="A56" i="49" s="1"/>
  <c r="A57" i="49" s="1"/>
  <c r="A58" i="49" s="1"/>
  <c r="A59" i="49" s="1"/>
  <c r="A60" i="49" s="1"/>
  <c r="A61" i="49" s="1"/>
  <c r="A62" i="49" s="1"/>
  <c r="A63" i="49" s="1"/>
  <c r="A64" i="49" s="1"/>
  <c r="A65" i="49" s="1"/>
  <c r="A66" i="49" s="1"/>
  <c r="A67" i="49" s="1"/>
  <c r="A68" i="49" s="1"/>
  <c r="A69" i="49" s="1"/>
  <c r="A70" i="49" s="1"/>
  <c r="A71" i="49" s="1"/>
  <c r="A72" i="49" s="1"/>
  <c r="A73" i="49" s="1"/>
  <c r="A74" i="49" s="1"/>
  <c r="A75" i="49" s="1"/>
  <c r="A76" i="49" s="1"/>
  <c r="A77" i="49" s="1"/>
  <c r="A78" i="49" s="1"/>
  <c r="A79" i="49" s="1"/>
  <c r="P28" i="48"/>
  <c r="J346" i="49"/>
  <c r="K346" i="49" s="1"/>
  <c r="J218" i="49"/>
  <c r="K218" i="49" s="1"/>
  <c r="G29" i="48"/>
  <c r="G25" i="48"/>
  <c r="G13" i="48"/>
  <c r="P32" i="48"/>
  <c r="P30" i="48"/>
  <c r="H18" i="48"/>
  <c r="P13" i="48"/>
  <c r="P15" i="48"/>
  <c r="G14" i="48"/>
  <c r="K46" i="48"/>
  <c r="P29" i="48"/>
  <c r="I23" i="48"/>
  <c r="P19" i="48"/>
  <c r="G16" i="48"/>
  <c r="E120" i="48"/>
  <c r="G18" i="48"/>
  <c r="G15" i="48"/>
  <c r="G20" i="48"/>
  <c r="P31" i="48"/>
  <c r="P25" i="48"/>
  <c r="P17" i="48"/>
  <c r="P26" i="48"/>
  <c r="P22" i="48"/>
  <c r="I20" i="48"/>
  <c r="G26" i="48"/>
  <c r="P21" i="48"/>
  <c r="P16" i="48"/>
  <c r="H24" i="48"/>
  <c r="P18" i="48"/>
  <c r="G23" i="48"/>
  <c r="G22" i="48"/>
  <c r="H28" i="48"/>
  <c r="H30" i="48"/>
  <c r="H32" i="48"/>
  <c r="G32" i="48"/>
  <c r="E119" i="48"/>
  <c r="H17" i="48"/>
  <c r="G17" i="48"/>
  <c r="I18" i="48"/>
  <c r="G31" i="48"/>
  <c r="H31" i="48"/>
  <c r="H25" i="48"/>
  <c r="H19" i="48"/>
  <c r="P23" i="48"/>
  <c r="H33" i="48"/>
  <c r="G33" i="48"/>
  <c r="H27" i="48"/>
  <c r="G27" i="48"/>
  <c r="P33" i="48"/>
  <c r="G30" i="48"/>
  <c r="P14" i="48"/>
  <c r="P27" i="48"/>
  <c r="H29" i="48"/>
  <c r="G21" i="48"/>
  <c r="H21" i="48"/>
  <c r="J76" i="48"/>
  <c r="J13" i="48" s="1"/>
  <c r="I13" i="48"/>
  <c r="J91" i="49"/>
  <c r="K91" i="49" s="1"/>
  <c r="J154" i="49"/>
  <c r="K154" i="49" s="1"/>
  <c r="K47" i="48" l="1"/>
  <c r="G19" i="71"/>
  <c r="J283" i="49"/>
  <c r="K283" i="49" s="1"/>
  <c r="J381" i="49"/>
  <c r="K381" i="49" s="1"/>
  <c r="J252" i="49"/>
  <c r="K252" i="49" s="1"/>
  <c r="J316" i="49"/>
  <c r="K316" i="49" s="1"/>
  <c r="J124" i="49"/>
  <c r="K124" i="49" s="1"/>
  <c r="K123" i="49"/>
  <c r="P37" i="48"/>
  <c r="D41" i="57" s="1"/>
  <c r="J219" i="49"/>
  <c r="A107" i="48"/>
  <c r="A111" i="48" s="1"/>
  <c r="G72" i="48"/>
  <c r="I24" i="48"/>
  <c r="J188" i="49"/>
  <c r="K188" i="49" s="1"/>
  <c r="A88" i="49"/>
  <c r="A89" i="49" s="1"/>
  <c r="A90" i="49" s="1"/>
  <c r="A91" i="49" s="1"/>
  <c r="A92" i="49" s="1"/>
  <c r="A93" i="49" s="1"/>
  <c r="A94" i="49" s="1"/>
  <c r="A95" i="49" s="1"/>
  <c r="A96" i="49" s="1"/>
  <c r="A97" i="49" s="1"/>
  <c r="A98" i="49" s="1"/>
  <c r="A99" i="49" s="1"/>
  <c r="A100" i="49" s="1"/>
  <c r="A101" i="49" s="1"/>
  <c r="A102" i="49" s="1"/>
  <c r="A103" i="49" s="1"/>
  <c r="A104" i="49" s="1"/>
  <c r="A105" i="49" s="1"/>
  <c r="A106" i="49" s="1"/>
  <c r="A107" i="49" s="1"/>
  <c r="A108" i="49" s="1"/>
  <c r="A109" i="49" s="1"/>
  <c r="A110" i="49" s="1"/>
  <c r="A111" i="49" s="1"/>
  <c r="A112" i="49" s="1"/>
  <c r="A113" i="49" s="1"/>
  <c r="G42" i="57"/>
  <c r="E82" i="7"/>
  <c r="J347" i="49"/>
  <c r="K347" i="49" s="1"/>
  <c r="K55" i="49"/>
  <c r="J56" i="49"/>
  <c r="I14" i="48"/>
  <c r="I15" i="48"/>
  <c r="I16" i="48"/>
  <c r="K76" i="48"/>
  <c r="N76" i="48" s="1"/>
  <c r="N13" i="48" s="1"/>
  <c r="I32" i="48"/>
  <c r="H26" i="48"/>
  <c r="I22" i="48"/>
  <c r="K48" i="48"/>
  <c r="J92" i="49"/>
  <c r="K92" i="49" s="1"/>
  <c r="J155" i="49"/>
  <c r="K155" i="49" s="1"/>
  <c r="J284" i="49" l="1"/>
  <c r="K284" i="49" s="1"/>
  <c r="J382" i="49"/>
  <c r="K382" i="49" s="1"/>
  <c r="J253" i="49"/>
  <c r="K253" i="49" s="1"/>
  <c r="J317" i="49"/>
  <c r="K317" i="49" s="1"/>
  <c r="J125" i="49"/>
  <c r="K125" i="49" s="1"/>
  <c r="J220" i="49"/>
  <c r="K220" i="49" s="1"/>
  <c r="K219" i="49"/>
  <c r="J348" i="49"/>
  <c r="K348" i="49" s="1"/>
  <c r="J189" i="49"/>
  <c r="A121" i="49"/>
  <c r="A122" i="49" s="1"/>
  <c r="A123" i="49" s="1"/>
  <c r="A124" i="49" s="1"/>
  <c r="A125" i="49" s="1"/>
  <c r="A126" i="49" s="1"/>
  <c r="A127" i="49" s="1"/>
  <c r="A128" i="49" s="1"/>
  <c r="A129" i="49" s="1"/>
  <c r="A130" i="49" s="1"/>
  <c r="A131" i="49" s="1"/>
  <c r="A132" i="49" s="1"/>
  <c r="A133" i="49" s="1"/>
  <c r="A134" i="49" s="1"/>
  <c r="A135" i="49" s="1"/>
  <c r="A136" i="49" s="1"/>
  <c r="A137" i="49" s="1"/>
  <c r="A138" i="49" s="1"/>
  <c r="A139" i="49" s="1"/>
  <c r="A140" i="49" s="1"/>
  <c r="A141" i="49" s="1"/>
  <c r="A142" i="49" s="1"/>
  <c r="A143" i="49" s="1"/>
  <c r="A144" i="49" s="1"/>
  <c r="A145" i="49" s="1"/>
  <c r="A146" i="49" s="1"/>
  <c r="G9" i="71"/>
  <c r="H26" i="11"/>
  <c r="K56" i="49"/>
  <c r="K77" i="48"/>
  <c r="K13" i="48"/>
  <c r="I28" i="48"/>
  <c r="I26" i="48"/>
  <c r="H72" i="48"/>
  <c r="I30" i="48"/>
  <c r="I31" i="48"/>
  <c r="I19" i="48"/>
  <c r="I21" i="48"/>
  <c r="I17" i="48"/>
  <c r="I27" i="48"/>
  <c r="I25" i="48"/>
  <c r="I33" i="48"/>
  <c r="I29" i="48"/>
  <c r="K49" i="48"/>
  <c r="J156" i="49"/>
  <c r="K156" i="49" s="1"/>
  <c r="J57" i="49"/>
  <c r="J93" i="49"/>
  <c r="K93" i="49" s="1"/>
  <c r="J285" i="49" l="1"/>
  <c r="K285" i="49" s="1"/>
  <c r="K78" i="48"/>
  <c r="K14" i="48"/>
  <c r="J254" i="49"/>
  <c r="K254" i="49" s="1"/>
  <c r="J221" i="49"/>
  <c r="K221" i="49" s="1"/>
  <c r="J383" i="49"/>
  <c r="K383" i="49" s="1"/>
  <c r="J318" i="49"/>
  <c r="K318" i="49" s="1"/>
  <c r="J126" i="49"/>
  <c r="K126" i="49" s="1"/>
  <c r="J190" i="49"/>
  <c r="K190" i="49" s="1"/>
  <c r="K189" i="49"/>
  <c r="K57" i="49"/>
  <c r="J349" i="49"/>
  <c r="K349" i="49" s="1"/>
  <c r="A152" i="49"/>
  <c r="A153" i="49" s="1"/>
  <c r="A154" i="49" s="1"/>
  <c r="A155" i="49" s="1"/>
  <c r="A156" i="49" s="1"/>
  <c r="A157" i="49" s="1"/>
  <c r="A158" i="49" s="1"/>
  <c r="A159" i="49" s="1"/>
  <c r="A160" i="49" s="1"/>
  <c r="A161" i="49" s="1"/>
  <c r="A162" i="49" s="1"/>
  <c r="A163" i="49" s="1"/>
  <c r="A164" i="49" s="1"/>
  <c r="A165" i="49" s="1"/>
  <c r="A166" i="49" s="1"/>
  <c r="A167" i="49" s="1"/>
  <c r="A168" i="49" s="1"/>
  <c r="A169" i="49" s="1"/>
  <c r="A170" i="49" s="1"/>
  <c r="A171" i="49" s="1"/>
  <c r="A172" i="49" s="1"/>
  <c r="A173" i="49" s="1"/>
  <c r="A174" i="49" s="1"/>
  <c r="A175" i="49" s="1"/>
  <c r="A176" i="49" s="1"/>
  <c r="A177" i="49" s="1"/>
  <c r="H27" i="11"/>
  <c r="G10" i="71"/>
  <c r="K50" i="48"/>
  <c r="J286" i="49"/>
  <c r="K286" i="49" s="1"/>
  <c r="J157" i="49"/>
  <c r="K157" i="49" s="1"/>
  <c r="J222" i="49"/>
  <c r="K222" i="49" s="1"/>
  <c r="J58" i="49"/>
  <c r="J94" i="49"/>
  <c r="K94" i="49" s="1"/>
  <c r="J255" i="49" l="1"/>
  <c r="K255" i="49" s="1"/>
  <c r="K79" i="48"/>
  <c r="K15" i="48"/>
  <c r="J384" i="49"/>
  <c r="K384" i="49" s="1"/>
  <c r="J319" i="49"/>
  <c r="K319" i="49" s="1"/>
  <c r="J191" i="49"/>
  <c r="K191" i="49" s="1"/>
  <c r="J127" i="49"/>
  <c r="K127" i="49" s="1"/>
  <c r="J350" i="49"/>
  <c r="K350" i="49" s="1"/>
  <c r="J59" i="49"/>
  <c r="K58" i="49"/>
  <c r="A185" i="49"/>
  <c r="A186" i="49" s="1"/>
  <c r="A187" i="49" s="1"/>
  <c r="A188" i="49" s="1"/>
  <c r="A189" i="49" s="1"/>
  <c r="A190" i="49" s="1"/>
  <c r="A191" i="49" s="1"/>
  <c r="A192" i="49" s="1"/>
  <c r="A193" i="49" s="1"/>
  <c r="A194" i="49" s="1"/>
  <c r="A195" i="49" s="1"/>
  <c r="A196" i="49" s="1"/>
  <c r="A197" i="49" s="1"/>
  <c r="A198" i="49" s="1"/>
  <c r="A199" i="49" s="1"/>
  <c r="A200" i="49" s="1"/>
  <c r="A201" i="49" s="1"/>
  <c r="A202" i="49" s="1"/>
  <c r="A203" i="49" s="1"/>
  <c r="A204" i="49" s="1"/>
  <c r="A205" i="49" s="1"/>
  <c r="A206" i="49" s="1"/>
  <c r="A207" i="49" s="1"/>
  <c r="A208" i="49" s="1"/>
  <c r="A209" i="49" s="1"/>
  <c r="A210" i="49" s="1"/>
  <c r="G11" i="71"/>
  <c r="H28" i="11"/>
  <c r="K51" i="48"/>
  <c r="A119" i="48"/>
  <c r="J72" i="48"/>
  <c r="J287" i="49"/>
  <c r="K287" i="49" s="1"/>
  <c r="J223" i="49"/>
  <c r="K223" i="49" s="1"/>
  <c r="J95" i="49"/>
  <c r="K95" i="49" s="1"/>
  <c r="K59" i="49"/>
  <c r="J158" i="49"/>
  <c r="K158" i="49" s="1"/>
  <c r="J256" i="49"/>
  <c r="K256" i="49" s="1"/>
  <c r="K16" i="48" l="1"/>
  <c r="K80" i="48"/>
  <c r="J385" i="49"/>
  <c r="K385" i="49" s="1"/>
  <c r="J320" i="49"/>
  <c r="K320" i="49" s="1"/>
  <c r="J192" i="49"/>
  <c r="K192" i="49" s="1"/>
  <c r="J128" i="49"/>
  <c r="K128" i="49" s="1"/>
  <c r="J351" i="49"/>
  <c r="J60" i="49"/>
  <c r="A216" i="49"/>
  <c r="A217" i="49" s="1"/>
  <c r="A218" i="49" s="1"/>
  <c r="A219" i="49" s="1"/>
  <c r="A220" i="49" s="1"/>
  <c r="A221" i="49" s="1"/>
  <c r="A222" i="49" s="1"/>
  <c r="A223" i="49" s="1"/>
  <c r="A224" i="49" s="1"/>
  <c r="A225" i="49" s="1"/>
  <c r="A226" i="49" s="1"/>
  <c r="A227" i="49" s="1"/>
  <c r="A228" i="49" s="1"/>
  <c r="A229" i="49" s="1"/>
  <c r="A230" i="49" s="1"/>
  <c r="A231" i="49" s="1"/>
  <c r="A232" i="49" s="1"/>
  <c r="A233" i="49" s="1"/>
  <c r="A234" i="49" s="1"/>
  <c r="A235" i="49" s="1"/>
  <c r="A236" i="49" s="1"/>
  <c r="A237" i="49" s="1"/>
  <c r="G12" i="71"/>
  <c r="H29" i="11"/>
  <c r="K52" i="48"/>
  <c r="A120" i="48"/>
  <c r="A121" i="48" s="1"/>
  <c r="A122" i="48" s="1"/>
  <c r="A123" i="48" s="1"/>
  <c r="A124" i="48" s="1"/>
  <c r="A125" i="48" s="1"/>
  <c r="A126" i="48" s="1"/>
  <c r="A127" i="48" s="1"/>
  <c r="A128" i="48" s="1"/>
  <c r="A129" i="48" s="1"/>
  <c r="A130" i="48" s="1"/>
  <c r="J224" i="49"/>
  <c r="K224" i="49" s="1"/>
  <c r="J288" i="49"/>
  <c r="K288" i="49" s="1"/>
  <c r="J257" i="49"/>
  <c r="K257" i="49" s="1"/>
  <c r="J96" i="49"/>
  <c r="K96" i="49" s="1"/>
  <c r="K60" i="49"/>
  <c r="J159" i="49"/>
  <c r="K159" i="49" s="1"/>
  <c r="K81" i="48" l="1"/>
  <c r="K17" i="48"/>
  <c r="J386" i="49"/>
  <c r="K386" i="49" s="1"/>
  <c r="J321" i="49"/>
  <c r="K321" i="49" s="1"/>
  <c r="J193" i="49"/>
  <c r="K193" i="49" s="1"/>
  <c r="J352" i="49"/>
  <c r="K352" i="49" s="1"/>
  <c r="K351" i="49"/>
  <c r="J129" i="49"/>
  <c r="K129" i="49" s="1"/>
  <c r="J61" i="49"/>
  <c r="A238" i="49"/>
  <c r="A239" i="49" s="1"/>
  <c r="A240" i="49" s="1"/>
  <c r="A241" i="49" s="1"/>
  <c r="A249" i="49" s="1"/>
  <c r="A250" i="49" s="1"/>
  <c r="A251" i="49" s="1"/>
  <c r="A252" i="49" s="1"/>
  <c r="A253" i="49" s="1"/>
  <c r="A254" i="49" s="1"/>
  <c r="A255" i="49" s="1"/>
  <c r="A256" i="49" s="1"/>
  <c r="A257" i="49" s="1"/>
  <c r="A258" i="49" s="1"/>
  <c r="A259" i="49" s="1"/>
  <c r="A260" i="49" s="1"/>
  <c r="A261" i="49" s="1"/>
  <c r="A262" i="49" s="1"/>
  <c r="A263" i="49" s="1"/>
  <c r="A264" i="49" s="1"/>
  <c r="A265" i="49" s="1"/>
  <c r="A266" i="49" s="1"/>
  <c r="A267" i="49" s="1"/>
  <c r="A268" i="49" s="1"/>
  <c r="A269" i="49" s="1"/>
  <c r="A270" i="49" s="1"/>
  <c r="A271" i="49" s="1"/>
  <c r="F130" i="48"/>
  <c r="A131" i="48"/>
  <c r="A132" i="48" s="1"/>
  <c r="A133" i="48" s="1"/>
  <c r="F131" i="48"/>
  <c r="K53" i="48"/>
  <c r="J160" i="49"/>
  <c r="K160" i="49" s="1"/>
  <c r="J289" i="49"/>
  <c r="K289" i="49" s="1"/>
  <c r="J97" i="49"/>
  <c r="K97" i="49" s="1"/>
  <c r="J258" i="49"/>
  <c r="K258" i="49" s="1"/>
  <c r="J225" i="49"/>
  <c r="K225" i="49" s="1"/>
  <c r="K18" i="48" l="1"/>
  <c r="K82" i="48"/>
  <c r="J387" i="49"/>
  <c r="K387" i="49" s="1"/>
  <c r="J322" i="49"/>
  <c r="K322" i="49" s="1"/>
  <c r="J194" i="49"/>
  <c r="K194" i="49" s="1"/>
  <c r="J353" i="49"/>
  <c r="K353" i="49" s="1"/>
  <c r="J130" i="49"/>
  <c r="K130" i="49" s="1"/>
  <c r="K61" i="49"/>
  <c r="F133" i="48"/>
  <c r="H30" i="11"/>
  <c r="A272" i="49"/>
  <c r="A273" i="49" s="1"/>
  <c r="A274" i="49" s="1"/>
  <c r="A280" i="49" s="1"/>
  <c r="A281" i="49" s="1"/>
  <c r="A282" i="49" s="1"/>
  <c r="A283" i="49" s="1"/>
  <c r="A284" i="49" s="1"/>
  <c r="A285" i="49" s="1"/>
  <c r="A286" i="49" s="1"/>
  <c r="A287" i="49" s="1"/>
  <c r="A288" i="49" s="1"/>
  <c r="A289" i="49" s="1"/>
  <c r="A290" i="49" s="1"/>
  <c r="A291" i="49" s="1"/>
  <c r="A292" i="49" s="1"/>
  <c r="A293" i="49" s="1"/>
  <c r="A294" i="49" s="1"/>
  <c r="A295" i="49" s="1"/>
  <c r="A296" i="49" s="1"/>
  <c r="A297" i="49" s="1"/>
  <c r="A298" i="49" s="1"/>
  <c r="A299" i="49" s="1"/>
  <c r="A300" i="49" s="1"/>
  <c r="A301" i="49" s="1"/>
  <c r="A302" i="49" s="1"/>
  <c r="A303" i="49" s="1"/>
  <c r="A304" i="49" s="1"/>
  <c r="A305" i="49" s="1"/>
  <c r="G13" i="71"/>
  <c r="K54" i="48"/>
  <c r="J226" i="49"/>
  <c r="K226" i="49" s="1"/>
  <c r="J290" i="49"/>
  <c r="K290" i="49" s="1"/>
  <c r="J259" i="49"/>
  <c r="K259" i="49" s="1"/>
  <c r="J161" i="49"/>
  <c r="K62" i="49"/>
  <c r="J62" i="49"/>
  <c r="J98" i="49"/>
  <c r="K98" i="49" s="1"/>
  <c r="K83" i="48" l="1"/>
  <c r="K19" i="48"/>
  <c r="J388" i="49"/>
  <c r="K388" i="49" s="1"/>
  <c r="J195" i="49"/>
  <c r="K195" i="49" s="1"/>
  <c r="J323" i="49"/>
  <c r="K323" i="49" s="1"/>
  <c r="J354" i="49"/>
  <c r="K354" i="49" s="1"/>
  <c r="J131" i="49"/>
  <c r="K131" i="49" s="1"/>
  <c r="J63" i="49"/>
  <c r="K161" i="49"/>
  <c r="K63" i="49" s="1"/>
  <c r="H31" i="11"/>
  <c r="G14" i="71"/>
  <c r="A313" i="49"/>
  <c r="A314" i="49" s="1"/>
  <c r="A315" i="49" s="1"/>
  <c r="A316" i="49" s="1"/>
  <c r="A317" i="49" s="1"/>
  <c r="A318" i="49" s="1"/>
  <c r="A319" i="49" s="1"/>
  <c r="A320" i="49" s="1"/>
  <c r="A321" i="49" s="1"/>
  <c r="A322" i="49" s="1"/>
  <c r="A323" i="49" s="1"/>
  <c r="A324" i="49" s="1"/>
  <c r="A325" i="49" s="1"/>
  <c r="A326" i="49" s="1"/>
  <c r="A327" i="49" s="1"/>
  <c r="A328" i="49" s="1"/>
  <c r="A329" i="49" s="1"/>
  <c r="A330" i="49" s="1"/>
  <c r="A331" i="49" s="1"/>
  <c r="A332" i="49" s="1"/>
  <c r="A333" i="49" s="1"/>
  <c r="A334" i="49" s="1"/>
  <c r="G15" i="71"/>
  <c r="H32" i="11"/>
  <c r="K55" i="48"/>
  <c r="J99" i="49"/>
  <c r="K99" i="49" s="1"/>
  <c r="J389" i="49"/>
  <c r="K389" i="49" s="1"/>
  <c r="J162" i="49"/>
  <c r="J291" i="49"/>
  <c r="K291" i="49" s="1"/>
  <c r="J260" i="49"/>
  <c r="K260" i="49" s="1"/>
  <c r="J227" i="49"/>
  <c r="K227" i="49" s="1"/>
  <c r="J196" i="49"/>
  <c r="K196" i="49" s="1"/>
  <c r="K84" i="48" l="1"/>
  <c r="K20" i="48"/>
  <c r="J132" i="49"/>
  <c r="K132" i="49" s="1"/>
  <c r="J324" i="49"/>
  <c r="K324" i="49" s="1"/>
  <c r="J355" i="49"/>
  <c r="K355" i="49" s="1"/>
  <c r="J64" i="49"/>
  <c r="K162" i="49"/>
  <c r="K64" i="49" s="1"/>
  <c r="A335" i="49"/>
  <c r="A336" i="49" s="1"/>
  <c r="A337" i="49" s="1"/>
  <c r="A338" i="49" s="1"/>
  <c r="A344" i="49" s="1"/>
  <c r="A345" i="49" s="1"/>
  <c r="A346" i="49" s="1"/>
  <c r="A347" i="49" s="1"/>
  <c r="A348" i="49" s="1"/>
  <c r="A349" i="49" s="1"/>
  <c r="A350" i="49" s="1"/>
  <c r="A351" i="49" s="1"/>
  <c r="A352" i="49" s="1"/>
  <c r="A353" i="49" s="1"/>
  <c r="A354" i="49" s="1"/>
  <c r="A355" i="49" s="1"/>
  <c r="A356" i="49" s="1"/>
  <c r="A357" i="49" s="1"/>
  <c r="A358" i="49" s="1"/>
  <c r="A359" i="49" s="1"/>
  <c r="A360" i="49" s="1"/>
  <c r="A361" i="49" s="1"/>
  <c r="A362" i="49" s="1"/>
  <c r="A363" i="49" s="1"/>
  <c r="A364" i="49" s="1"/>
  <c r="A365" i="49" s="1"/>
  <c r="H33" i="11"/>
  <c r="K56" i="48"/>
  <c r="J197" i="49"/>
  <c r="K197" i="49" s="1"/>
  <c r="J390" i="49"/>
  <c r="K390" i="49" s="1"/>
  <c r="J228" i="49"/>
  <c r="K228" i="49" s="1"/>
  <c r="J292" i="49"/>
  <c r="K292" i="49" s="1"/>
  <c r="J261" i="49"/>
  <c r="K261" i="49" s="1"/>
  <c r="J100" i="49"/>
  <c r="K100" i="49" s="1"/>
  <c r="J163" i="49"/>
  <c r="K163" i="49" s="1"/>
  <c r="K21" i="48" l="1"/>
  <c r="K85" i="48"/>
  <c r="J325" i="49"/>
  <c r="K325" i="49" s="1"/>
  <c r="J133" i="49"/>
  <c r="K133" i="49" s="1"/>
  <c r="J356" i="49"/>
  <c r="K356" i="49" s="1"/>
  <c r="A366" i="49"/>
  <c r="A367" i="49" s="1"/>
  <c r="A368" i="49" s="1"/>
  <c r="A369" i="49" s="1"/>
  <c r="G17" i="71" s="1"/>
  <c r="G16" i="71"/>
  <c r="K57" i="48"/>
  <c r="J101" i="49"/>
  <c r="K101" i="49" s="1"/>
  <c r="J198" i="49"/>
  <c r="K198" i="49" s="1"/>
  <c r="J262" i="49"/>
  <c r="K262" i="49" s="1"/>
  <c r="J391" i="49"/>
  <c r="K391" i="49" s="1"/>
  <c r="K65" i="49"/>
  <c r="J164" i="49"/>
  <c r="J293" i="49"/>
  <c r="K293" i="49" s="1"/>
  <c r="J65" i="49"/>
  <c r="J229" i="49"/>
  <c r="K229" i="49" s="1"/>
  <c r="K86" i="48" l="1"/>
  <c r="K22" i="48"/>
  <c r="J326" i="49"/>
  <c r="K326" i="49" s="1"/>
  <c r="J134" i="49"/>
  <c r="K134" i="49" s="1"/>
  <c r="J357" i="49"/>
  <c r="K357" i="49" s="1"/>
  <c r="J66" i="49"/>
  <c r="K164" i="49"/>
  <c r="H34" i="11"/>
  <c r="A377" i="49"/>
  <c r="A378" i="49" s="1"/>
  <c r="A379" i="49" s="1"/>
  <c r="A380" i="49" s="1"/>
  <c r="A381" i="49" s="1"/>
  <c r="A382" i="49" s="1"/>
  <c r="A383" i="49" s="1"/>
  <c r="A384" i="49" s="1"/>
  <c r="A385" i="49" s="1"/>
  <c r="A386" i="49" s="1"/>
  <c r="A387" i="49" s="1"/>
  <c r="A388" i="49" s="1"/>
  <c r="A389" i="49" s="1"/>
  <c r="A390" i="49" s="1"/>
  <c r="A391" i="49" s="1"/>
  <c r="A392" i="49" s="1"/>
  <c r="A393" i="49" s="1"/>
  <c r="A394" i="49" s="1"/>
  <c r="A395" i="49" s="1"/>
  <c r="A396" i="49" s="1"/>
  <c r="A397" i="49" s="1"/>
  <c r="A398" i="49" s="1"/>
  <c r="K58" i="48"/>
  <c r="J294" i="49"/>
  <c r="K294" i="49" s="1"/>
  <c r="J263" i="49"/>
  <c r="K263" i="49" s="1"/>
  <c r="J102" i="49"/>
  <c r="K102" i="49" s="1"/>
  <c r="J230" i="49"/>
  <c r="K230" i="49" s="1"/>
  <c r="J165" i="49"/>
  <c r="K165" i="49" s="1"/>
  <c r="J199" i="49"/>
  <c r="K199" i="49" s="1"/>
  <c r="J392" i="49"/>
  <c r="K392" i="49" s="1"/>
  <c r="K87" i="48" l="1"/>
  <c r="K23" i="48"/>
  <c r="J135" i="49"/>
  <c r="K135" i="49" s="1"/>
  <c r="J327" i="49"/>
  <c r="K327" i="49" s="1"/>
  <c r="J358" i="49"/>
  <c r="K358" i="49" s="1"/>
  <c r="K66" i="49"/>
  <c r="A399" i="49"/>
  <c r="A400" i="49" s="1"/>
  <c r="A401" i="49" s="1"/>
  <c r="A402" i="49" s="1"/>
  <c r="A410" i="49" s="1"/>
  <c r="A411" i="49" s="1"/>
  <c r="A412" i="49" s="1"/>
  <c r="A413" i="49" s="1"/>
  <c r="A414" i="49" s="1"/>
  <c r="A415" i="49" s="1"/>
  <c r="A416" i="49" s="1"/>
  <c r="A417" i="49" s="1"/>
  <c r="A418" i="49" s="1"/>
  <c r="A419" i="49" s="1"/>
  <c r="A420" i="49" s="1"/>
  <c r="A421" i="49" s="1"/>
  <c r="A422" i="49" s="1"/>
  <c r="A423" i="49" s="1"/>
  <c r="A424" i="49" s="1"/>
  <c r="A425" i="49" s="1"/>
  <c r="A426" i="49" s="1"/>
  <c r="A427" i="49" s="1"/>
  <c r="A428" i="49" s="1"/>
  <c r="A429" i="49" s="1"/>
  <c r="A430" i="49" s="1"/>
  <c r="A431" i="49" s="1"/>
  <c r="A432" i="49" s="1"/>
  <c r="A433" i="49" s="1"/>
  <c r="A434" i="49" s="1"/>
  <c r="A435" i="49" s="1"/>
  <c r="K59" i="48"/>
  <c r="J393" i="49"/>
  <c r="K393" i="49" s="1"/>
  <c r="J103" i="49"/>
  <c r="K103" i="49" s="1"/>
  <c r="J166" i="49"/>
  <c r="K166" i="49" s="1"/>
  <c r="K67" i="49"/>
  <c r="J295" i="49"/>
  <c r="K295" i="49" s="1"/>
  <c r="J200" i="49"/>
  <c r="K200" i="49" s="1"/>
  <c r="J67" i="49"/>
  <c r="J231" i="49"/>
  <c r="K231" i="49" s="1"/>
  <c r="J264" i="49"/>
  <c r="K264" i="49" s="1"/>
  <c r="K88" i="48" l="1"/>
  <c r="K24" i="48"/>
  <c r="J136" i="49"/>
  <c r="K136" i="49" s="1"/>
  <c r="J328" i="49"/>
  <c r="K328" i="49" s="1"/>
  <c r="G18" i="71"/>
  <c r="H35" i="11"/>
  <c r="J359" i="49"/>
  <c r="K359" i="49" s="1"/>
  <c r="K60" i="48"/>
  <c r="J167" i="49"/>
  <c r="J104" i="49"/>
  <c r="K104" i="49" s="1"/>
  <c r="J265" i="49"/>
  <c r="K265" i="49" s="1"/>
  <c r="J232" i="49"/>
  <c r="K232" i="49" s="1"/>
  <c r="J68" i="49"/>
  <c r="J201" i="49"/>
  <c r="K201" i="49" s="1"/>
  <c r="J296" i="49"/>
  <c r="K296" i="49" s="1"/>
  <c r="J394" i="49"/>
  <c r="K394" i="49" s="1"/>
  <c r="K25" i="48" l="1"/>
  <c r="K89" i="48"/>
  <c r="J137" i="49"/>
  <c r="K137" i="49" s="1"/>
  <c r="J329" i="49"/>
  <c r="K329" i="49" s="1"/>
  <c r="J360" i="49"/>
  <c r="K360" i="49" s="1"/>
  <c r="J69" i="49"/>
  <c r="K167" i="49"/>
  <c r="K69" i="49" s="1"/>
  <c r="K68" i="49"/>
  <c r="K61" i="48"/>
  <c r="J233" i="49"/>
  <c r="K233" i="49" s="1"/>
  <c r="J266" i="49"/>
  <c r="K266" i="49" s="1"/>
  <c r="J105" i="49"/>
  <c r="K105" i="49" s="1"/>
  <c r="J395" i="49"/>
  <c r="K395" i="49" s="1"/>
  <c r="J297" i="49"/>
  <c r="K297" i="49" s="1"/>
  <c r="J202" i="49"/>
  <c r="K202" i="49" s="1"/>
  <c r="J168" i="49"/>
  <c r="K168" i="49" s="1"/>
  <c r="J330" i="49" l="1"/>
  <c r="K330" i="49" s="1"/>
  <c r="K90" i="48"/>
  <c r="K26" i="48"/>
  <c r="J138" i="49"/>
  <c r="K138" i="49" s="1"/>
  <c r="J361" i="49"/>
  <c r="K361" i="49" s="1"/>
  <c r="K62" i="48"/>
  <c r="J267" i="49"/>
  <c r="K267" i="49" s="1"/>
  <c r="J169" i="49"/>
  <c r="K70" i="49"/>
  <c r="J234" i="49"/>
  <c r="K234" i="49" s="1"/>
  <c r="J70" i="49"/>
  <c r="J331" i="49"/>
  <c r="K331" i="49" s="1"/>
  <c r="J298" i="49"/>
  <c r="K298" i="49" s="1"/>
  <c r="J396" i="49"/>
  <c r="K396" i="49" s="1"/>
  <c r="J203" i="49"/>
  <c r="K203" i="49" s="1"/>
  <c r="J106" i="49"/>
  <c r="K106" i="49" s="1"/>
  <c r="K91" i="48" l="1"/>
  <c r="K27" i="48"/>
  <c r="J139" i="49"/>
  <c r="K139" i="49" s="1"/>
  <c r="J362" i="49"/>
  <c r="K362" i="49" s="1"/>
  <c r="J71" i="49"/>
  <c r="K169" i="49"/>
  <c r="K63" i="48"/>
  <c r="J397" i="49"/>
  <c r="K397" i="49" s="1"/>
  <c r="J235" i="49"/>
  <c r="K235" i="49" s="1"/>
  <c r="J107" i="49"/>
  <c r="K107" i="49" s="1"/>
  <c r="J332" i="49"/>
  <c r="K332" i="49" s="1"/>
  <c r="J204" i="49"/>
  <c r="K204" i="49" s="1"/>
  <c r="J140" i="49"/>
  <c r="K140" i="49" s="1"/>
  <c r="J299" i="49"/>
  <c r="K299" i="49" s="1"/>
  <c r="J170" i="49"/>
  <c r="J268" i="49"/>
  <c r="K268" i="49" s="1"/>
  <c r="K28" i="48" l="1"/>
  <c r="K92" i="48"/>
  <c r="J363" i="49"/>
  <c r="K363" i="49" s="1"/>
  <c r="J72" i="49"/>
  <c r="K170" i="49"/>
  <c r="K72" i="49" s="1"/>
  <c r="K71" i="49"/>
  <c r="K64" i="48"/>
  <c r="J108" i="49"/>
  <c r="K108" i="49" s="1"/>
  <c r="J205" i="49"/>
  <c r="K205" i="49" s="1"/>
  <c r="J171" i="49"/>
  <c r="K171" i="49" s="1"/>
  <c r="J141" i="49"/>
  <c r="K141" i="49" s="1"/>
  <c r="J269" i="49"/>
  <c r="K269" i="49" s="1"/>
  <c r="J236" i="49"/>
  <c r="K236" i="49" s="1"/>
  <c r="J300" i="49"/>
  <c r="K300" i="49" s="1"/>
  <c r="J333" i="49"/>
  <c r="K333" i="49" s="1"/>
  <c r="J398" i="49"/>
  <c r="K398" i="49" s="1"/>
  <c r="J364" i="49" l="1"/>
  <c r="K364" i="49" s="1"/>
  <c r="K93" i="48"/>
  <c r="K29" i="48"/>
  <c r="J399" i="49"/>
  <c r="K399" i="49" s="1"/>
  <c r="K65" i="48"/>
  <c r="J172" i="49"/>
  <c r="K172" i="49" s="1"/>
  <c r="K73" i="49"/>
  <c r="J270" i="49"/>
  <c r="K270" i="49" s="1"/>
  <c r="J334" i="49"/>
  <c r="K334" i="49" s="1"/>
  <c r="J301" i="49"/>
  <c r="K301" i="49" s="1"/>
  <c r="J142" i="49"/>
  <c r="K142" i="49" s="1"/>
  <c r="J109" i="49"/>
  <c r="J237" i="49"/>
  <c r="K237" i="49" s="1"/>
  <c r="J206" i="49"/>
  <c r="K206" i="49" s="1"/>
  <c r="J365" i="49"/>
  <c r="K365" i="49" s="1"/>
  <c r="J73" i="49"/>
  <c r="K94" i="48" l="1"/>
  <c r="K30" i="48"/>
  <c r="J74" i="49"/>
  <c r="J110" i="49"/>
  <c r="K110" i="49" s="1"/>
  <c r="K109" i="49"/>
  <c r="K66" i="48"/>
  <c r="J400" i="49"/>
  <c r="K400" i="49" s="1"/>
  <c r="J366" i="49"/>
  <c r="K366" i="49" s="1"/>
  <c r="J335" i="49"/>
  <c r="K335" i="49" s="1"/>
  <c r="J302" i="49"/>
  <c r="K302" i="49" s="1"/>
  <c r="J271" i="49"/>
  <c r="K271" i="49" s="1"/>
  <c r="J238" i="49"/>
  <c r="K238" i="49" s="1"/>
  <c r="J207" i="49"/>
  <c r="K207" i="49" s="1"/>
  <c r="J143" i="49"/>
  <c r="K143" i="49" s="1"/>
  <c r="K74" i="49"/>
  <c r="J173" i="49"/>
  <c r="K173" i="49" s="1"/>
  <c r="K95" i="48" l="1"/>
  <c r="K31" i="48"/>
  <c r="J111" i="49"/>
  <c r="K111" i="49" s="1"/>
  <c r="K67" i="48"/>
  <c r="J401" i="49"/>
  <c r="J367" i="49"/>
  <c r="K367" i="49" s="1"/>
  <c r="J336" i="49"/>
  <c r="K336" i="49" s="1"/>
  <c r="J303" i="49"/>
  <c r="K303" i="49" s="1"/>
  <c r="J272" i="49"/>
  <c r="K272" i="49" s="1"/>
  <c r="J239" i="49"/>
  <c r="K239" i="49" s="1"/>
  <c r="J208" i="49"/>
  <c r="K208" i="49" s="1"/>
  <c r="K75" i="49"/>
  <c r="J174" i="49"/>
  <c r="J144" i="49"/>
  <c r="K144" i="49" s="1"/>
  <c r="J75" i="49"/>
  <c r="J112" i="49" l="1"/>
  <c r="K112" i="49" s="1"/>
  <c r="K96" i="48"/>
  <c r="K32" i="48"/>
  <c r="K401" i="49"/>
  <c r="K402" i="49" s="1"/>
  <c r="J76" i="49"/>
  <c r="K174" i="49"/>
  <c r="K76" i="49" s="1"/>
  <c r="K113" i="49"/>
  <c r="G26" i="11" s="1"/>
  <c r="K68" i="48"/>
  <c r="J368" i="49"/>
  <c r="K368" i="49" s="1"/>
  <c r="J337" i="49"/>
  <c r="K337" i="49" s="1"/>
  <c r="J304" i="49"/>
  <c r="K304" i="49" s="1"/>
  <c r="J273" i="49"/>
  <c r="K273" i="49" s="1"/>
  <c r="J240" i="49"/>
  <c r="K240" i="49" s="1"/>
  <c r="J209" i="49"/>
  <c r="K209" i="49" s="1"/>
  <c r="K210" i="49" s="1"/>
  <c r="J175" i="49"/>
  <c r="J145" i="49"/>
  <c r="K145" i="49" s="1"/>
  <c r="K97" i="48" l="1"/>
  <c r="K33" i="48"/>
  <c r="F18" i="71"/>
  <c r="G35" i="11"/>
  <c r="J77" i="49"/>
  <c r="K175" i="49"/>
  <c r="K77" i="49" s="1"/>
  <c r="F9" i="71"/>
  <c r="K241" i="49"/>
  <c r="K305" i="49"/>
  <c r="K369" i="49"/>
  <c r="K146" i="49"/>
  <c r="K274" i="49"/>
  <c r="K338" i="49"/>
  <c r="J176" i="49"/>
  <c r="K176" i="49" s="1"/>
  <c r="K98" i="48" l="1"/>
  <c r="K34" i="48"/>
  <c r="J78" i="49"/>
  <c r="K78" i="49"/>
  <c r="K177" i="49"/>
  <c r="G28" i="11" s="1"/>
  <c r="F10" i="71"/>
  <c r="G27" i="11"/>
  <c r="G33" i="11"/>
  <c r="F16" i="71"/>
  <c r="F17" i="71"/>
  <c r="G34" i="11"/>
  <c r="F14" i="71"/>
  <c r="G31" i="11"/>
  <c r="G32" i="11"/>
  <c r="F15" i="71"/>
  <c r="G29" i="11"/>
  <c r="F12" i="71"/>
  <c r="F13" i="71"/>
  <c r="G30" i="11"/>
  <c r="G176" i="15"/>
  <c r="G177" i="15" s="1"/>
  <c r="G168" i="15"/>
  <c r="I128" i="15"/>
  <c r="A128" i="15"/>
  <c r="G126" i="15"/>
  <c r="F126" i="15"/>
  <c r="I117" i="15"/>
  <c r="A102" i="15"/>
  <c r="A103" i="15" s="1"/>
  <c r="A104" i="15" s="1"/>
  <c r="A105" i="15" s="1"/>
  <c r="A106" i="15" s="1"/>
  <c r="A107" i="15" s="1"/>
  <c r="E93" i="15"/>
  <c r="A89" i="15"/>
  <c r="A90" i="15" s="1"/>
  <c r="I88" i="15"/>
  <c r="H88" i="15"/>
  <c r="D88" i="15"/>
  <c r="A81" i="15"/>
  <c r="A82" i="15" s="1"/>
  <c r="A83" i="15" s="1"/>
  <c r="A84" i="15" s="1"/>
  <c r="A85" i="15" s="1"/>
  <c r="I68" i="15"/>
  <c r="A68" i="15"/>
  <c r="E73" i="15" s="1"/>
  <c r="I66" i="15"/>
  <c r="A31" i="15"/>
  <c r="A11" i="15"/>
  <c r="A12" i="15" s="1"/>
  <c r="A13" i="15" s="1"/>
  <c r="E14" i="15" s="1"/>
  <c r="E103" i="15" l="1"/>
  <c r="E33" i="15"/>
  <c r="G33" i="15" s="1"/>
  <c r="E31" i="15"/>
  <c r="E37" i="15"/>
  <c r="G37" i="15" s="1"/>
  <c r="K35" i="48"/>
  <c r="K99" i="48"/>
  <c r="K36" i="48" s="1"/>
  <c r="A14" i="15"/>
  <c r="G37" i="11"/>
  <c r="G169" i="15"/>
  <c r="K79" i="49"/>
  <c r="C42" i="57" s="1"/>
  <c r="F11" i="71"/>
  <c r="F88" i="15"/>
  <c r="F90" i="15" s="1"/>
  <c r="I90" i="15"/>
  <c r="E88" i="15"/>
  <c r="A129" i="15"/>
  <c r="A130" i="15" s="1"/>
  <c r="D68" i="15"/>
  <c r="G88" i="15"/>
  <c r="F68" i="15"/>
  <c r="F70" i="15" s="1"/>
  <c r="A32" i="15"/>
  <c r="A33" i="15" s="1"/>
  <c r="A34" i="15" s="1"/>
  <c r="A35" i="15" s="1"/>
  <c r="A36" i="15" s="1"/>
  <c r="A37" i="15" s="1"/>
  <c r="A38" i="15" s="1"/>
  <c r="A39" i="15" s="1"/>
  <c r="A40" i="15" s="1"/>
  <c r="A41" i="15" s="1"/>
  <c r="A42" i="15" s="1"/>
  <c r="A43" i="15" s="1"/>
  <c r="A44" i="15" s="1"/>
  <c r="A45" i="15" s="1"/>
  <c r="I54" i="15"/>
  <c r="A93" i="15"/>
  <c r="E11" i="15"/>
  <c r="A69" i="15"/>
  <c r="A70" i="15" s="1"/>
  <c r="E133" i="15"/>
  <c r="K37" i="48" l="1"/>
  <c r="C41" i="57" s="1"/>
  <c r="E104" i="15"/>
  <c r="H104" i="15" s="1"/>
  <c r="H117" i="15" s="1"/>
  <c r="E38" i="15"/>
  <c r="H38" i="15" s="1"/>
  <c r="E34" i="15"/>
  <c r="H34" i="15" s="1"/>
  <c r="E32" i="15"/>
  <c r="H32" i="15" s="1"/>
  <c r="E41" i="15"/>
  <c r="H41" i="15" s="1"/>
  <c r="E36" i="15"/>
  <c r="H36" i="15" s="1"/>
  <c r="E35" i="15"/>
  <c r="H35" i="15" s="1"/>
  <c r="G31" i="15"/>
  <c r="G54" i="15" s="1"/>
  <c r="G103" i="15"/>
  <c r="G117" i="15" s="1"/>
  <c r="E117" i="15"/>
  <c r="E12" i="15"/>
  <c r="A133" i="15"/>
  <c r="A142" i="15" s="1"/>
  <c r="A143" i="15" s="1"/>
  <c r="A144" i="15" s="1"/>
  <c r="A145" i="15" s="1"/>
  <c r="A146" i="15" s="1"/>
  <c r="A147" i="15" s="1"/>
  <c r="A148" i="15" s="1"/>
  <c r="A149" i="15" s="1"/>
  <c r="A150" i="15" s="1"/>
  <c r="A151" i="15" s="1"/>
  <c r="A152" i="15" s="1"/>
  <c r="A153" i="15" s="1"/>
  <c r="A154" i="15" s="1"/>
  <c r="A155" i="15" s="1"/>
  <c r="A15" i="15"/>
  <c r="A16" i="15" s="1"/>
  <c r="A17" i="15" s="1"/>
  <c r="A18" i="15" s="1"/>
  <c r="A19" i="15" s="1"/>
  <c r="A20" i="15" s="1"/>
  <c r="A21" i="15" s="1"/>
  <c r="A22" i="15" s="1"/>
  <c r="A23" i="15" s="1"/>
  <c r="A24" i="15" s="1"/>
  <c r="E19" i="15"/>
  <c r="H128" i="15"/>
  <c r="G128" i="15"/>
  <c r="D82" i="7"/>
  <c r="I130" i="15"/>
  <c r="A73" i="15"/>
  <c r="E10" i="15"/>
  <c r="I70" i="15"/>
  <c r="F128" i="15"/>
  <c r="F130" i="15" s="1"/>
  <c r="H54" i="15" l="1"/>
  <c r="E54" i="15"/>
  <c r="H68" i="15"/>
  <c r="E128" i="15"/>
  <c r="E87" i="8" l="1"/>
  <c r="G56" i="46"/>
  <c r="F23" i="22" l="1"/>
  <c r="A10" i="22"/>
  <c r="A11" i="22" s="1"/>
  <c r="A12" i="22" s="1"/>
  <c r="A13" i="22" s="1"/>
  <c r="A14" i="22" s="1"/>
  <c r="A15" i="22" s="1"/>
  <c r="A16" i="22" s="1"/>
  <c r="A17" i="22" s="1"/>
  <c r="A18" i="22" s="1"/>
  <c r="A19" i="22" s="1"/>
  <c r="A20" i="22" s="1"/>
  <c r="A21" i="22" l="1"/>
  <c r="G23" i="22" s="1"/>
  <c r="D47" i="2" l="1"/>
  <c r="D48" i="2" s="1"/>
  <c r="F115" i="46" s="1"/>
  <c r="D41" i="2"/>
  <c r="D42" i="2" s="1"/>
  <c r="D35" i="2"/>
  <c r="D36" i="2" s="1"/>
  <c r="D29" i="2"/>
  <c r="D30" i="2" s="1"/>
  <c r="F117" i="46" l="1"/>
  <c r="F116" i="46"/>
  <c r="F118" i="46"/>
  <c r="F103" i="46"/>
  <c r="F87" i="46"/>
  <c r="F95" i="46"/>
  <c r="F97" i="46"/>
  <c r="F79" i="46"/>
  <c r="F93" i="46"/>
  <c r="F76" i="46"/>
  <c r="F74" i="46"/>
  <c r="F101" i="46"/>
  <c r="F83" i="46"/>
  <c r="F99" i="46"/>
  <c r="F90" i="46"/>
  <c r="F82" i="46"/>
  <c r="C29" i="46"/>
  <c r="L29" i="46"/>
  <c r="E92" i="46" s="1"/>
  <c r="K29" i="46"/>
  <c r="G29" i="46"/>
  <c r="J29" i="46" l="1"/>
  <c r="C92" i="46" s="1"/>
  <c r="D92" i="46"/>
  <c r="E41" i="71" l="1"/>
  <c r="H27" i="8"/>
  <c r="H25" i="8"/>
  <c r="H23" i="8"/>
  <c r="H9" i="8"/>
  <c r="H8" i="8"/>
  <c r="G27" i="32"/>
  <c r="G21" i="32"/>
  <c r="G13" i="32"/>
  <c r="B100" i="44"/>
  <c r="B194" i="71"/>
  <c r="F141" i="71"/>
  <c r="F140" i="71"/>
  <c r="D64" i="46"/>
  <c r="G69" i="8"/>
  <c r="G71" i="8"/>
  <c r="E51" i="7"/>
  <c r="E39" i="7"/>
  <c r="I134" i="1"/>
  <c r="I133" i="1"/>
  <c r="I130" i="1"/>
  <c r="I128" i="1"/>
  <c r="I126" i="1"/>
  <c r="I100" i="1"/>
  <c r="I32" i="1"/>
  <c r="I30" i="1"/>
  <c r="I26" i="1"/>
  <c r="I22" i="1"/>
  <c r="I12" i="1"/>
  <c r="I11" i="1"/>
  <c r="F228" i="61" l="1"/>
  <c r="F229" i="61"/>
  <c r="F226" i="61"/>
  <c r="F232" i="61"/>
  <c r="J45" i="8" l="1"/>
  <c r="E71" i="8" l="1"/>
  <c r="C101" i="26" l="1"/>
  <c r="E19" i="55"/>
  <c r="E17" i="55"/>
  <c r="E18" i="55"/>
  <c r="I21" i="45"/>
  <c r="H58" i="26" l="1"/>
  <c r="F65" i="26"/>
  <c r="F49" i="22" l="1"/>
  <c r="I210" i="61"/>
  <c r="K44" i="1" l="1"/>
  <c r="K52" i="1" s="1"/>
  <c r="B112" i="12"/>
  <c r="K133" i="1" l="1"/>
  <c r="E41" i="57" l="1"/>
  <c r="E27" i="12" l="1"/>
  <c r="E26" i="12"/>
  <c r="E25" i="12"/>
  <c r="H302" i="11" l="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90" i="11"/>
  <c r="G290"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71" i="11"/>
  <c r="G271"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52" i="11"/>
  <c r="G252"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33" i="11"/>
  <c r="G233"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14" i="11"/>
  <c r="G214"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95" i="11"/>
  <c r="G195"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6" i="11"/>
  <c r="G176" i="1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7" i="11"/>
  <c r="G157" i="11"/>
  <c r="G72" i="11"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7" i="11"/>
  <c r="G137" i="11"/>
  <c r="H72"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H117" i="11"/>
  <c r="G117" i="11"/>
  <c r="F72" i="11" s="1"/>
  <c r="F107" i="11"/>
  <c r="E94" i="11" l="1"/>
  <c r="G94" i="11" s="1"/>
  <c r="E95" i="11"/>
  <c r="G95" i="11" s="1"/>
  <c r="E97" i="11"/>
  <c r="G97" i="11" s="1"/>
  <c r="E105" i="11"/>
  <c r="G105" i="11" s="1"/>
  <c r="E101" i="11"/>
  <c r="G101" i="11" s="1"/>
  <c r="E99" i="11"/>
  <c r="G99" i="11" s="1"/>
  <c r="E103" i="11"/>
  <c r="G103" i="11" s="1"/>
  <c r="E96" i="11"/>
  <c r="G96" i="11" s="1"/>
  <c r="E98" i="11"/>
  <c r="G98" i="11" s="1"/>
  <c r="E100" i="11"/>
  <c r="G100" i="11" s="1"/>
  <c r="E102" i="11"/>
  <c r="G102" i="11" s="1"/>
  <c r="E104" i="11"/>
  <c r="G104" i="11" s="1"/>
  <c r="E106" i="11"/>
  <c r="G106" i="11" s="1"/>
  <c r="G107" i="11" l="1"/>
  <c r="E107" i="11"/>
  <c r="H19" i="8" l="1"/>
  <c r="E36" i="7"/>
  <c r="D37" i="7"/>
  <c r="G19" i="2"/>
  <c r="G17" i="2"/>
  <c r="M12" i="64" l="1"/>
  <c r="E38" i="7"/>
  <c r="I21" i="1"/>
  <c r="J19" i="8"/>
  <c r="K22" i="1"/>
  <c r="D39" i="7"/>
  <c r="H18" i="8" l="1"/>
  <c r="F100" i="12"/>
  <c r="B108" i="12"/>
  <c r="E37" i="7" l="1"/>
  <c r="H20" i="8"/>
  <c r="I23" i="1" l="1"/>
  <c r="H6" i="8" l="1"/>
  <c r="I9" i="1" l="1"/>
  <c r="E19" i="2" l="1"/>
  <c r="E17" i="2"/>
  <c r="H7" i="8" l="1"/>
  <c r="I10" i="1" l="1"/>
  <c r="K84" i="1" l="1"/>
  <c r="E43" i="46" l="1"/>
  <c r="D43" i="46"/>
  <c r="B34" i="31" l="1"/>
  <c r="F44" i="26" l="1"/>
  <c r="F46" i="71" l="1"/>
  <c r="D53" i="71"/>
  <c r="A10" i="71"/>
  <c r="A11" i="71" s="1"/>
  <c r="A12" i="71" s="1"/>
  <c r="A13" i="71" s="1"/>
  <c r="A14" i="71" s="1"/>
  <c r="A15" i="71" s="1"/>
  <c r="A16" i="71" s="1"/>
  <c r="A17" i="71" s="1"/>
  <c r="A18" i="71" s="1"/>
  <c r="A19" i="71" s="1"/>
  <c r="D46" i="71"/>
  <c r="F53" i="71"/>
  <c r="D38" i="7"/>
  <c r="J43" i="61"/>
  <c r="C64" i="46"/>
  <c r="G58" i="26"/>
  <c r="G59" i="26" s="1"/>
  <c r="G37" i="26" s="1"/>
  <c r="D37" i="26" s="1"/>
  <c r="G6" i="26" s="1"/>
  <c r="H6" i="26" s="1"/>
  <c r="E65" i="26"/>
  <c r="H80" i="44"/>
  <c r="H77" i="44"/>
  <c r="H55" i="44"/>
  <c r="I34" i="44"/>
  <c r="H34" i="44"/>
  <c r="A14" i="44"/>
  <c r="A15" i="44" s="1"/>
  <c r="A16" i="44" s="1"/>
  <c r="A17" i="44" s="1"/>
  <c r="A18" i="44" s="1"/>
  <c r="A30" i="44" s="1"/>
  <c r="K21" i="1"/>
  <c r="E58" i="46"/>
  <c r="E60" i="46" s="1"/>
  <c r="D58" i="46"/>
  <c r="C56" i="46"/>
  <c r="J56" i="46" s="1"/>
  <c r="C119" i="46" s="1"/>
  <c r="I58" i="46"/>
  <c r="L57" i="46"/>
  <c r="E120" i="46" s="1"/>
  <c r="I120" i="46" s="1"/>
  <c r="K56" i="46"/>
  <c r="D119" i="46" s="1"/>
  <c r="H119" i="46" s="1"/>
  <c r="G55" i="46"/>
  <c r="L55" i="46"/>
  <c r="E118" i="46" s="1"/>
  <c r="K55" i="46"/>
  <c r="D118" i="46" s="1"/>
  <c r="C55" i="46"/>
  <c r="G54" i="46"/>
  <c r="L54" i="46"/>
  <c r="E117" i="46" s="1"/>
  <c r="K54" i="46"/>
  <c r="D117" i="46" s="1"/>
  <c r="C54" i="46"/>
  <c r="G53" i="46"/>
  <c r="L53" i="46"/>
  <c r="E116" i="46" s="1"/>
  <c r="K53" i="46"/>
  <c r="D116" i="46" s="1"/>
  <c r="C53" i="46"/>
  <c r="G52" i="46"/>
  <c r="L56" i="46"/>
  <c r="E119" i="46" s="1"/>
  <c r="I119" i="46" s="1"/>
  <c r="K52" i="46"/>
  <c r="D115" i="46" s="1"/>
  <c r="C52" i="46"/>
  <c r="I43" i="46"/>
  <c r="L42" i="46"/>
  <c r="E105" i="46" s="1"/>
  <c r="G41" i="46"/>
  <c r="G40" i="46"/>
  <c r="L40" i="46"/>
  <c r="E103" i="46" s="1"/>
  <c r="I103" i="46" s="1"/>
  <c r="C40" i="46"/>
  <c r="K39" i="46"/>
  <c r="D102" i="46" s="1"/>
  <c r="G39" i="46"/>
  <c r="L39" i="46"/>
  <c r="E102" i="46" s="1"/>
  <c r="C39" i="46"/>
  <c r="G38" i="46"/>
  <c r="L38" i="46"/>
  <c r="E101" i="46" s="1"/>
  <c r="I101" i="46" s="1"/>
  <c r="C38" i="46"/>
  <c r="K37" i="46"/>
  <c r="D100" i="46" s="1"/>
  <c r="G37" i="46"/>
  <c r="L37" i="46"/>
  <c r="E100" i="46" s="1"/>
  <c r="I100" i="46" s="1"/>
  <c r="C37" i="46"/>
  <c r="G36" i="46"/>
  <c r="L36" i="46"/>
  <c r="E99" i="46" s="1"/>
  <c r="I99" i="46" s="1"/>
  <c r="C36" i="46"/>
  <c r="K35" i="46"/>
  <c r="D98" i="46" s="1"/>
  <c r="H98" i="46" s="1"/>
  <c r="G35" i="46"/>
  <c r="L35" i="46"/>
  <c r="E98" i="46" s="1"/>
  <c r="I98" i="46" s="1"/>
  <c r="C35" i="46"/>
  <c r="G34" i="46"/>
  <c r="L34" i="46"/>
  <c r="E97" i="46" s="1"/>
  <c r="I97" i="46" s="1"/>
  <c r="C34" i="46"/>
  <c r="K33" i="46"/>
  <c r="G33" i="46"/>
  <c r="L33" i="46"/>
  <c r="E96" i="46" s="1"/>
  <c r="C33" i="46"/>
  <c r="G32" i="46"/>
  <c r="L32" i="46"/>
  <c r="E95" i="46" s="1"/>
  <c r="K32" i="46"/>
  <c r="C32" i="46"/>
  <c r="G31" i="46"/>
  <c r="L31" i="46"/>
  <c r="E94" i="46" s="1"/>
  <c r="K31" i="46"/>
  <c r="D94" i="46" s="1"/>
  <c r="C31" i="46"/>
  <c r="G30" i="46"/>
  <c r="L30" i="46"/>
  <c r="E93" i="46" s="1"/>
  <c r="K30" i="46"/>
  <c r="C30" i="46"/>
  <c r="G28" i="46"/>
  <c r="L28" i="46"/>
  <c r="E91" i="46" s="1"/>
  <c r="K28" i="46"/>
  <c r="D91" i="46" s="1"/>
  <c r="C28" i="46"/>
  <c r="G27" i="46"/>
  <c r="L27" i="46"/>
  <c r="E90" i="46" s="1"/>
  <c r="I90" i="46" s="1"/>
  <c r="K27" i="46"/>
  <c r="D90" i="46" s="1"/>
  <c r="H90" i="46" s="1"/>
  <c r="C27" i="46"/>
  <c r="G26" i="46"/>
  <c r="L26" i="46"/>
  <c r="E89" i="46" s="1"/>
  <c r="I89" i="46" s="1"/>
  <c r="K26" i="46"/>
  <c r="C26" i="46"/>
  <c r="L25" i="46"/>
  <c r="E88" i="46" s="1"/>
  <c r="I88" i="46" s="1"/>
  <c r="K25" i="46"/>
  <c r="D88" i="46" s="1"/>
  <c r="C25" i="46"/>
  <c r="G24" i="46"/>
  <c r="L24" i="46"/>
  <c r="E87" i="46" s="1"/>
  <c r="I87" i="46" s="1"/>
  <c r="K24" i="46"/>
  <c r="C24" i="46"/>
  <c r="G23" i="46"/>
  <c r="L23" i="46"/>
  <c r="E86" i="46" s="1"/>
  <c r="I86" i="46" s="1"/>
  <c r="K23" i="46"/>
  <c r="C23" i="46"/>
  <c r="G22" i="46"/>
  <c r="L22" i="46"/>
  <c r="K22" i="46"/>
  <c r="D85" i="46" s="1"/>
  <c r="H85" i="46" s="1"/>
  <c r="C22" i="46"/>
  <c r="G21" i="46"/>
  <c r="L21" i="46"/>
  <c r="K21" i="46"/>
  <c r="D84" i="46" s="1"/>
  <c r="H84" i="46" s="1"/>
  <c r="C21" i="46"/>
  <c r="G20" i="46"/>
  <c r="L20" i="46"/>
  <c r="K20" i="46"/>
  <c r="D83" i="46" s="1"/>
  <c r="H83" i="46" s="1"/>
  <c r="C20" i="46"/>
  <c r="G19" i="46"/>
  <c r="L19" i="46"/>
  <c r="K19" i="46"/>
  <c r="D82" i="46" s="1"/>
  <c r="H82" i="46" s="1"/>
  <c r="C19" i="46"/>
  <c r="G18" i="46"/>
  <c r="L18" i="46"/>
  <c r="K18" i="46"/>
  <c r="D81" i="46" s="1"/>
  <c r="H81" i="46" s="1"/>
  <c r="C18" i="46"/>
  <c r="G17" i="46"/>
  <c r="L17" i="46"/>
  <c r="K17" i="46"/>
  <c r="D80" i="46" s="1"/>
  <c r="H80" i="46" s="1"/>
  <c r="C17" i="46"/>
  <c r="G16" i="46"/>
  <c r="L16" i="46"/>
  <c r="K16" i="46"/>
  <c r="D79" i="46" s="1"/>
  <c r="H79" i="46" s="1"/>
  <c r="C16" i="46"/>
  <c r="G15" i="46"/>
  <c r="L15" i="46"/>
  <c r="K15" i="46"/>
  <c r="D78" i="46" s="1"/>
  <c r="H78" i="46" s="1"/>
  <c r="C15" i="46"/>
  <c r="G14" i="46"/>
  <c r="L14" i="46"/>
  <c r="E77" i="46" s="1"/>
  <c r="I77" i="46" s="1"/>
  <c r="K14" i="46"/>
  <c r="C14" i="46"/>
  <c r="G13" i="46"/>
  <c r="L13" i="46"/>
  <c r="E76" i="46" s="1"/>
  <c r="I76" i="46" s="1"/>
  <c r="K13" i="46"/>
  <c r="D76" i="46" s="1"/>
  <c r="C13" i="46"/>
  <c r="G12" i="46"/>
  <c r="L12" i="46"/>
  <c r="E75" i="46" s="1"/>
  <c r="I75" i="46" s="1"/>
  <c r="K12" i="46"/>
  <c r="A12" i="46"/>
  <c r="A13" i="46" s="1"/>
  <c r="A14" i="46" s="1"/>
  <c r="A15" i="46" s="1"/>
  <c r="A16" i="46" s="1"/>
  <c r="A17" i="46" s="1"/>
  <c r="A18" i="46" s="1"/>
  <c r="A19" i="46" s="1"/>
  <c r="A20" i="46" s="1"/>
  <c r="A21" i="46" s="1"/>
  <c r="A22" i="46" s="1"/>
  <c r="A23" i="46" s="1"/>
  <c r="A24" i="46" s="1"/>
  <c r="A25" i="46" s="1"/>
  <c r="A26" i="46" s="1"/>
  <c r="A27" i="46" s="1"/>
  <c r="A28" i="46" s="1"/>
  <c r="A29" i="46" s="1"/>
  <c r="A30" i="46" s="1"/>
  <c r="A31" i="46" s="1"/>
  <c r="A32" i="46" s="1"/>
  <c r="A33" i="46" s="1"/>
  <c r="A34" i="46" s="1"/>
  <c r="A35" i="46" s="1"/>
  <c r="A36" i="46" s="1"/>
  <c r="A37" i="46" s="1"/>
  <c r="A38" i="46" s="1"/>
  <c r="A39" i="46" s="1"/>
  <c r="A40" i="46" s="1"/>
  <c r="G11" i="46"/>
  <c r="C11" i="46"/>
  <c r="E16" i="57"/>
  <c r="E10" i="57"/>
  <c r="E53" i="71"/>
  <c r="B54" i="54"/>
  <c r="C9" i="9"/>
  <c r="A5" i="31"/>
  <c r="D66" i="65"/>
  <c r="E15" i="66"/>
  <c r="J25" i="8" s="1"/>
  <c r="F15" i="66"/>
  <c r="H43" i="26"/>
  <c r="D43" i="26" s="1"/>
  <c r="G12" i="26" s="1"/>
  <c r="H12" i="26" s="1"/>
  <c r="F53" i="22"/>
  <c r="D58" i="7"/>
  <c r="D54" i="7"/>
  <c r="F41" i="54"/>
  <c r="F38" i="54"/>
  <c r="F29" i="54"/>
  <c r="G16" i="2"/>
  <c r="J9" i="8"/>
  <c r="G9" i="2"/>
  <c r="A7" i="2"/>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K126" i="1"/>
  <c r="J50" i="8" s="1"/>
  <c r="A11" i="7"/>
  <c r="A12" i="7" s="1"/>
  <c r="A13" i="7" s="1"/>
  <c r="A14" i="7" s="1"/>
  <c r="A15" i="7" s="1"/>
  <c r="A16" i="7" s="1"/>
  <c r="K32" i="1"/>
  <c r="A14" i="65"/>
  <c r="A15" i="65" s="1"/>
  <c r="A16" i="65" s="1"/>
  <c r="A17" i="65" s="1"/>
  <c r="A18" i="65" s="1"/>
  <c r="A19" i="65" s="1"/>
  <c r="A20" i="65" s="1"/>
  <c r="A21" i="65" s="1"/>
  <c r="A22" i="65" s="1"/>
  <c r="A23" i="65" s="1"/>
  <c r="G48" i="11"/>
  <c r="G47" i="11"/>
  <c r="G46" i="11"/>
  <c r="E46" i="11" s="1"/>
  <c r="E39" i="12" s="1"/>
  <c r="H85" i="11"/>
  <c r="G60" i="11" s="1"/>
  <c r="G85" i="11"/>
  <c r="G62" i="11" s="1"/>
  <c r="E70" i="12" s="1"/>
  <c r="F85" i="11"/>
  <c r="G61" i="11" s="1"/>
  <c r="E69" i="12" s="1"/>
  <c r="E84" i="11"/>
  <c r="E83" i="11"/>
  <c r="E82" i="11"/>
  <c r="E81" i="11"/>
  <c r="E80" i="11"/>
  <c r="E79" i="11"/>
  <c r="E78" i="11"/>
  <c r="E77" i="11"/>
  <c r="E76" i="11"/>
  <c r="E75" i="11"/>
  <c r="E74" i="11"/>
  <c r="E73" i="11"/>
  <c r="E72" i="11"/>
  <c r="A25" i="12"/>
  <c r="A26" i="12" s="1"/>
  <c r="E230" i="61"/>
  <c r="I211" i="61"/>
  <c r="N186" i="61"/>
  <c r="N183" i="61"/>
  <c r="N181" i="61"/>
  <c r="N178" i="61"/>
  <c r="N177" i="61"/>
  <c r="N172" i="61"/>
  <c r="M172" i="61"/>
  <c r="L172" i="61"/>
  <c r="L219" i="61" s="1"/>
  <c r="J172" i="61"/>
  <c r="I172" i="61"/>
  <c r="H172" i="61"/>
  <c r="G172" i="61"/>
  <c r="J152" i="61"/>
  <c r="H144" i="61"/>
  <c r="M109" i="61"/>
  <c r="N108" i="61"/>
  <c r="H82" i="61"/>
  <c r="N82" i="61" s="1"/>
  <c r="H81" i="61"/>
  <c r="H50" i="61"/>
  <c r="H70" i="61" s="1"/>
  <c r="G50" i="61"/>
  <c r="J49" i="61"/>
  <c r="M49" i="61" s="1"/>
  <c r="N48" i="61"/>
  <c r="N47" i="61"/>
  <c r="J46" i="61"/>
  <c r="M46" i="61" s="1"/>
  <c r="J45" i="61"/>
  <c r="M45" i="61" s="1"/>
  <c r="J44" i="61"/>
  <c r="M44" i="61" s="1"/>
  <c r="G18" i="61"/>
  <c r="I18" i="61" s="1"/>
  <c r="J17" i="61"/>
  <c r="M17" i="61" s="1"/>
  <c r="N16" i="61"/>
  <c r="J15" i="61"/>
  <c r="M15" i="61" s="1"/>
  <c r="G14" i="61"/>
  <c r="I14" i="61" s="1"/>
  <c r="J13" i="61"/>
  <c r="J12" i="61"/>
  <c r="M12" i="61" s="1"/>
  <c r="J11" i="61"/>
  <c r="J5" i="61"/>
  <c r="M5" i="61" s="1"/>
  <c r="G4" i="61"/>
  <c r="D16" i="57"/>
  <c r="E11" i="57"/>
  <c r="E12" i="57" s="1"/>
  <c r="D11" i="57"/>
  <c r="D10" i="57"/>
  <c r="D17" i="57"/>
  <c r="F48" i="11"/>
  <c r="F62" i="11"/>
  <c r="E46" i="71"/>
  <c r="E24" i="54"/>
  <c r="D24" i="54"/>
  <c r="A8" i="17"/>
  <c r="A9" i="17" s="1"/>
  <c r="A10" i="17" s="1"/>
  <c r="A11" i="17" s="1"/>
  <c r="A12" i="17" s="1"/>
  <c r="A13" i="17" s="1"/>
  <c r="A14" i="17" s="1"/>
  <c r="I101" i="1" s="1"/>
  <c r="D50" i="26"/>
  <c r="G19" i="26" s="1"/>
  <c r="H19" i="26" s="1"/>
  <c r="D49" i="26"/>
  <c r="G18" i="26" s="1"/>
  <c r="H18" i="26" s="1"/>
  <c r="D48" i="26"/>
  <c r="G17" i="26" s="1"/>
  <c r="H17" i="26" s="1"/>
  <c r="D47" i="26"/>
  <c r="G16" i="26" s="1"/>
  <c r="H16" i="26" s="1"/>
  <c r="D46" i="26"/>
  <c r="G15" i="26" s="1"/>
  <c r="H15" i="26" s="1"/>
  <c r="D45" i="26"/>
  <c r="G14" i="26" s="1"/>
  <c r="H14" i="26" s="1"/>
  <c r="D44" i="26"/>
  <c r="G13" i="26" s="1"/>
  <c r="H13" i="26" s="1"/>
  <c r="D42" i="26"/>
  <c r="G11" i="26" s="1"/>
  <c r="H11" i="26" s="1"/>
  <c r="D41" i="26"/>
  <c r="G10" i="26" s="1"/>
  <c r="H10" i="26" s="1"/>
  <c r="D40" i="26"/>
  <c r="G9" i="26" s="1"/>
  <c r="H9" i="26" s="1"/>
  <c r="D39" i="26"/>
  <c r="G8" i="26" s="1"/>
  <c r="H8" i="26" s="1"/>
  <c r="D38" i="26"/>
  <c r="G7" i="26" s="1"/>
  <c r="H7" i="26" s="1"/>
  <c r="A10" i="57"/>
  <c r="A11" i="57" s="1"/>
  <c r="A12" i="57" s="1"/>
  <c r="A13" i="57" s="1"/>
  <c r="A14" i="57" s="1"/>
  <c r="A15" i="57" s="1"/>
  <c r="A16" i="57" s="1"/>
  <c r="A17" i="57" s="1"/>
  <c r="A18" i="57" s="1"/>
  <c r="A19" i="57" s="1"/>
  <c r="A20" i="57" s="1"/>
  <c r="A21" i="57" s="1"/>
  <c r="A22" i="57" s="1"/>
  <c r="A23" i="57" s="1"/>
  <c r="A24" i="57" s="1"/>
  <c r="A25" i="57" s="1"/>
  <c r="A26" i="57" s="1"/>
  <c r="A27" i="57" s="1"/>
  <c r="A28" i="57" s="1"/>
  <c r="K18" i="57"/>
  <c r="J18" i="57"/>
  <c r="I18" i="57"/>
  <c r="H18" i="57"/>
  <c r="G18" i="57"/>
  <c r="E17" i="57"/>
  <c r="E15" i="57"/>
  <c r="D15" i="57"/>
  <c r="K12" i="57"/>
  <c r="J12" i="57"/>
  <c r="I12" i="57"/>
  <c r="H12" i="57"/>
  <c r="G12" i="57"/>
  <c r="A9" i="56"/>
  <c r="A10" i="56" s="1"/>
  <c r="K30" i="1"/>
  <c r="K134" i="1"/>
  <c r="J58" i="8" s="1"/>
  <c r="A13" i="32"/>
  <c r="G14" i="32" s="1"/>
  <c r="A7" i="26"/>
  <c r="A8" i="26" s="1"/>
  <c r="A9" i="26" s="1"/>
  <c r="A10" i="26" s="1"/>
  <c r="A27" i="11"/>
  <c r="A28" i="11" s="1"/>
  <c r="A29" i="11" s="1"/>
  <c r="A30" i="11" s="1"/>
  <c r="A31" i="11" s="1"/>
  <c r="A32" i="11" s="1"/>
  <c r="A33" i="11" s="1"/>
  <c r="A34" i="11" s="1"/>
  <c r="A35" i="11" s="1"/>
  <c r="A36" i="11" s="1"/>
  <c r="A37" i="11" s="1"/>
  <c r="K100" i="1"/>
  <c r="A7" i="8"/>
  <c r="A8" i="8" s="1"/>
  <c r="A9" i="8" s="1"/>
  <c r="E27" i="32"/>
  <c r="K12" i="1"/>
  <c r="K128" i="1"/>
  <c r="F24" i="26"/>
  <c r="F27" i="12"/>
  <c r="F56" i="12" s="1"/>
  <c r="F26" i="12"/>
  <c r="F55" i="12" s="1"/>
  <c r="F25" i="12"/>
  <c r="F54" i="12" s="1"/>
  <c r="J44" i="8"/>
  <c r="F22" i="31"/>
  <c r="E22" i="31"/>
  <c r="D22" i="31"/>
  <c r="I58" i="61"/>
  <c r="F47" i="11"/>
  <c r="F61" i="11"/>
  <c r="C43" i="46"/>
  <c r="L11" i="46"/>
  <c r="E74" i="46" s="1"/>
  <c r="K11" i="46"/>
  <c r="K34" i="46"/>
  <c r="D97" i="46" s="1"/>
  <c r="K36" i="46"/>
  <c r="D99" i="46" s="1"/>
  <c r="K38" i="46"/>
  <c r="K40" i="46"/>
  <c r="L52" i="46"/>
  <c r="H64" i="44"/>
  <c r="A10" i="1"/>
  <c r="C10" i="57" l="1"/>
  <c r="H135" i="61"/>
  <c r="I81" i="61"/>
  <c r="I135" i="61" s="1"/>
  <c r="I144" i="61"/>
  <c r="H162" i="61"/>
  <c r="G82" i="61"/>
  <c r="M152" i="61"/>
  <c r="J162" i="61"/>
  <c r="I19" i="61"/>
  <c r="J14" i="61"/>
  <c r="M14" i="61" s="1"/>
  <c r="G16" i="61"/>
  <c r="I16" i="61" s="1"/>
  <c r="I12" i="61"/>
  <c r="J16" i="61"/>
  <c r="M16" i="61" s="1"/>
  <c r="J41" i="61"/>
  <c r="M41" i="61" s="1"/>
  <c r="G15" i="61"/>
  <c r="I15" i="61" s="1"/>
  <c r="N12" i="61"/>
  <c r="I208" i="61"/>
  <c r="J52" i="8"/>
  <c r="N184" i="61"/>
  <c r="A41" i="46"/>
  <c r="A42" i="46" s="1"/>
  <c r="A43" i="46" s="1"/>
  <c r="E9" i="2"/>
  <c r="A24" i="65"/>
  <c r="F47" i="71"/>
  <c r="E54" i="7"/>
  <c r="A29" i="57"/>
  <c r="M108" i="61"/>
  <c r="M135" i="61" s="1"/>
  <c r="J47" i="61"/>
  <c r="M47" i="61" s="1"/>
  <c r="M54" i="61"/>
  <c r="N46" i="61"/>
  <c r="M11" i="61"/>
  <c r="G15" i="2"/>
  <c r="A11" i="1"/>
  <c r="A12" i="1" s="1"/>
  <c r="A15" i="1" s="1"/>
  <c r="A16" i="1" s="1"/>
  <c r="A17" i="1" s="1"/>
  <c r="H14" i="8" s="1"/>
  <c r="D18" i="57"/>
  <c r="D12" i="57"/>
  <c r="E61" i="11"/>
  <c r="E55" i="12" s="1"/>
  <c r="C58" i="46"/>
  <c r="C60" i="46" s="1"/>
  <c r="I60" i="46"/>
  <c r="C11" i="57"/>
  <c r="C12" i="57" s="1"/>
  <c r="K20" i="57"/>
  <c r="E31" i="57" s="1"/>
  <c r="G151" i="61"/>
  <c r="N15" i="61"/>
  <c r="G45" i="61"/>
  <c r="I45" i="61" s="1"/>
  <c r="G11" i="61"/>
  <c r="N188" i="61"/>
  <c r="N5" i="61"/>
  <c r="M56" i="61"/>
  <c r="I53" i="61"/>
  <c r="G46" i="61"/>
  <c r="I46" i="61" s="1"/>
  <c r="M48" i="61"/>
  <c r="J23" i="46"/>
  <c r="C86" i="46" s="1"/>
  <c r="D86" i="46"/>
  <c r="H86" i="46" s="1"/>
  <c r="G86" i="46" s="1"/>
  <c r="J33" i="46"/>
  <c r="C96" i="46" s="1"/>
  <c r="F41" i="12"/>
  <c r="F39" i="12"/>
  <c r="H24" i="8"/>
  <c r="I28" i="1"/>
  <c r="E62" i="11"/>
  <c r="E56" i="12" s="1"/>
  <c r="F40" i="12"/>
  <c r="E47" i="11"/>
  <c r="E40" i="12" s="1"/>
  <c r="E21" i="32"/>
  <c r="C16" i="57"/>
  <c r="G20" i="57"/>
  <c r="C26" i="57" s="1"/>
  <c r="C15" i="57"/>
  <c r="J39" i="46"/>
  <c r="C102" i="46" s="1"/>
  <c r="D96" i="46"/>
  <c r="J37" i="46"/>
  <c r="C100" i="46" s="1"/>
  <c r="N17" i="61"/>
  <c r="N14" i="61"/>
  <c r="I209" i="61"/>
  <c r="N18" i="61"/>
  <c r="G5" i="61"/>
  <c r="I5" i="61" s="1"/>
  <c r="N4" i="61"/>
  <c r="N182" i="61"/>
  <c r="N185" i="61"/>
  <c r="J42" i="61"/>
  <c r="M42" i="61" s="1"/>
  <c r="J50" i="61"/>
  <c r="M50" i="61" s="1"/>
  <c r="N13" i="61"/>
  <c r="N109" i="61"/>
  <c r="G17" i="61"/>
  <c r="I17" i="61" s="1"/>
  <c r="G13" i="61"/>
  <c r="I13" i="61" s="1"/>
  <c r="N179" i="61"/>
  <c r="M143" i="61"/>
  <c r="N11" i="61"/>
  <c r="N180" i="61"/>
  <c r="N45" i="61"/>
  <c r="M57" i="61"/>
  <c r="M55" i="61"/>
  <c r="M53" i="61"/>
  <c r="G44" i="61"/>
  <c r="I44" i="61" s="1"/>
  <c r="N50" i="61"/>
  <c r="N187" i="61"/>
  <c r="G47" i="61"/>
  <c r="I47" i="61" s="1"/>
  <c r="J4" i="61"/>
  <c r="J8" i="61" s="1"/>
  <c r="J52" i="61"/>
  <c r="M52" i="61" s="1"/>
  <c r="E13" i="32"/>
  <c r="H20" i="57"/>
  <c r="D26" i="57" s="1"/>
  <c r="C17" i="57"/>
  <c r="E222" i="61"/>
  <c r="E223" i="61" s="1"/>
  <c r="L58" i="46"/>
  <c r="J55" i="46"/>
  <c r="C118" i="46" s="1"/>
  <c r="J53" i="46"/>
  <c r="C116" i="46" s="1"/>
  <c r="J54" i="46"/>
  <c r="C117" i="46" s="1"/>
  <c r="G90" i="46"/>
  <c r="J36" i="46"/>
  <c r="C99" i="46" s="1"/>
  <c r="J38" i="46"/>
  <c r="C101" i="46" s="1"/>
  <c r="J35" i="46"/>
  <c r="C98" i="46" s="1"/>
  <c r="J40" i="46"/>
  <c r="C103" i="46" s="1"/>
  <c r="L43" i="46"/>
  <c r="E48" i="11"/>
  <c r="E20" i="71"/>
  <c r="E24" i="71" s="1"/>
  <c r="J20" i="57"/>
  <c r="D27" i="57" s="1"/>
  <c r="I20" i="57"/>
  <c r="C27" i="57" s="1"/>
  <c r="D103" i="46"/>
  <c r="H103" i="46" s="1"/>
  <c r="G103" i="46" s="1"/>
  <c r="G24" i="26"/>
  <c r="A11" i="26"/>
  <c r="A12" i="26" s="1"/>
  <c r="A13" i="26" s="1"/>
  <c r="A14" i="26" s="1"/>
  <c r="A15" i="26" s="1"/>
  <c r="A16" i="26" s="1"/>
  <c r="A17" i="26" s="1"/>
  <c r="A18" i="26" s="1"/>
  <c r="A19" i="26" s="1"/>
  <c r="A20" i="26" s="1"/>
  <c r="J27" i="8"/>
  <c r="D101" i="46"/>
  <c r="H101" i="46" s="1"/>
  <c r="G101" i="46" s="1"/>
  <c r="E18" i="57"/>
  <c r="E20" i="57" s="1"/>
  <c r="M13" i="61"/>
  <c r="I50" i="61"/>
  <c r="M43" i="61"/>
  <c r="I4" i="61"/>
  <c r="K28" i="1"/>
  <c r="F20" i="17"/>
  <c r="F22" i="17" s="1"/>
  <c r="K101" i="1"/>
  <c r="K102" i="1" s="1"/>
  <c r="E60" i="11"/>
  <c r="E54" i="12" s="1"/>
  <c r="E68" i="12"/>
  <c r="D20" i="71"/>
  <c r="D24" i="71" s="1"/>
  <c r="J13" i="46"/>
  <c r="C76" i="46" s="1"/>
  <c r="J25" i="46"/>
  <c r="C88" i="46" s="1"/>
  <c r="E85" i="11"/>
  <c r="H20" i="26"/>
  <c r="F23" i="26" s="1"/>
  <c r="F25" i="26" s="1"/>
  <c r="H43" i="44"/>
  <c r="A15" i="17"/>
  <c r="A16" i="17" s="1"/>
  <c r="A17" i="17" s="1"/>
  <c r="A18" i="17" s="1"/>
  <c r="A19" i="17" s="1"/>
  <c r="A20" i="17" s="1"/>
  <c r="A21" i="17" s="1"/>
  <c r="A22" i="17" s="1"/>
  <c r="A23" i="17" s="1"/>
  <c r="J34" i="46"/>
  <c r="C97" i="46" s="1"/>
  <c r="J11" i="46"/>
  <c r="C74" i="46" s="1"/>
  <c r="J28" i="46"/>
  <c r="C91" i="46" s="1"/>
  <c r="H99" i="46"/>
  <c r="G99" i="46" s="1"/>
  <c r="H100" i="46"/>
  <c r="G100" i="46" s="1"/>
  <c r="J52" i="46"/>
  <c r="C115" i="46" s="1"/>
  <c r="D74" i="46"/>
  <c r="H97" i="46"/>
  <c r="G97" i="46" s="1"/>
  <c r="H88" i="46"/>
  <c r="G88" i="46" s="1"/>
  <c r="H76" i="46"/>
  <c r="D60" i="46"/>
  <c r="C146" i="46" s="1"/>
  <c r="H57" i="46" s="1"/>
  <c r="J31" i="46"/>
  <c r="C94" i="46" s="1"/>
  <c r="J27" i="46"/>
  <c r="C90" i="46" s="1"/>
  <c r="A17" i="7"/>
  <c r="A18" i="7" s="1"/>
  <c r="A19" i="7" s="1"/>
  <c r="A20" i="7" s="1"/>
  <c r="A21" i="7" s="1"/>
  <c r="A22" i="7" s="1"/>
  <c r="A23" i="7" s="1"/>
  <c r="A24" i="7" s="1"/>
  <c r="A25" i="7" s="1"/>
  <c r="G20" i="71"/>
  <c r="A20" i="71"/>
  <c r="B191" i="71" s="1"/>
  <c r="D75" i="46"/>
  <c r="J12" i="46"/>
  <c r="C75" i="46" s="1"/>
  <c r="E78" i="46"/>
  <c r="J15" i="46"/>
  <c r="C78" i="46" s="1"/>
  <c r="E79" i="46"/>
  <c r="I79" i="46" s="1"/>
  <c r="G79" i="46" s="1"/>
  <c r="J16" i="46"/>
  <c r="C79" i="46" s="1"/>
  <c r="E80" i="46"/>
  <c r="J17" i="46"/>
  <c r="C80" i="46" s="1"/>
  <c r="E81" i="46"/>
  <c r="I81" i="46" s="1"/>
  <c r="G81" i="46" s="1"/>
  <c r="J18" i="46"/>
  <c r="C81" i="46" s="1"/>
  <c r="E82" i="46"/>
  <c r="J19" i="46"/>
  <c r="C82" i="46" s="1"/>
  <c r="E83" i="46"/>
  <c r="I83" i="46" s="1"/>
  <c r="G83" i="46" s="1"/>
  <c r="J20" i="46"/>
  <c r="C83" i="46" s="1"/>
  <c r="E84" i="46"/>
  <c r="J21" i="46"/>
  <c r="C84" i="46" s="1"/>
  <c r="D89" i="46"/>
  <c r="J26" i="46"/>
  <c r="C89" i="46" s="1"/>
  <c r="D93" i="46"/>
  <c r="J30" i="46"/>
  <c r="C93" i="46" s="1"/>
  <c r="D77" i="46"/>
  <c r="J14" i="46"/>
  <c r="C77" i="46" s="1"/>
  <c r="E85" i="46"/>
  <c r="J22" i="46"/>
  <c r="C85" i="46" s="1"/>
  <c r="D87" i="46"/>
  <c r="J24" i="46"/>
  <c r="C87" i="46" s="1"/>
  <c r="D95" i="46"/>
  <c r="J32" i="46"/>
  <c r="C95" i="46" s="1"/>
  <c r="G98" i="46"/>
  <c r="G77" i="44"/>
  <c r="A31" i="44"/>
  <c r="A46" i="11"/>
  <c r="H39" i="12" s="1"/>
  <c r="A12" i="8"/>
  <c r="A11" i="56"/>
  <c r="A12" i="56" s="1"/>
  <c r="E115" i="46"/>
  <c r="E141" i="71"/>
  <c r="E140" i="71"/>
  <c r="E69" i="8"/>
  <c r="A23" i="22"/>
  <c r="A14" i="32"/>
  <c r="A20" i="32" s="1"/>
  <c r="A27" i="12"/>
  <c r="D47" i="71"/>
  <c r="E47" i="71"/>
  <c r="E54" i="71"/>
  <c r="D54" i="71"/>
  <c r="A6" i="31"/>
  <c r="A7" i="31" s="1"/>
  <c r="A8" i="31" s="1"/>
  <c r="B39" i="31" s="1"/>
  <c r="A25" i="65" l="1"/>
  <c r="B8" i="65"/>
  <c r="I18" i="1"/>
  <c r="E26" i="57"/>
  <c r="H219" i="61"/>
  <c r="I215" i="61"/>
  <c r="I151" i="61"/>
  <c r="I162" i="61" s="1"/>
  <c r="G162" i="61"/>
  <c r="N135" i="61"/>
  <c r="I8" i="61"/>
  <c r="N8" i="61"/>
  <c r="N70" i="61"/>
  <c r="N203" i="61"/>
  <c r="G32" i="61"/>
  <c r="M162" i="61"/>
  <c r="G8" i="61"/>
  <c r="N162" i="61"/>
  <c r="J32" i="61"/>
  <c r="J70" i="61"/>
  <c r="M32" i="61"/>
  <c r="N32" i="61"/>
  <c r="M70" i="61"/>
  <c r="I11" i="61"/>
  <c r="I32" i="61" s="1"/>
  <c r="E51" i="11"/>
  <c r="A44" i="46"/>
  <c r="A52" i="46" s="1"/>
  <c r="A53" i="46" s="1"/>
  <c r="A54" i="46" s="1"/>
  <c r="A55" i="46" s="1"/>
  <c r="E62" i="46"/>
  <c r="D20" i="57"/>
  <c r="A30" i="57"/>
  <c r="A31" i="57" s="1"/>
  <c r="G31" i="57"/>
  <c r="C78" i="26"/>
  <c r="F54" i="71"/>
  <c r="E58" i="7"/>
  <c r="A18" i="1"/>
  <c r="A21" i="1" s="1"/>
  <c r="C18" i="57"/>
  <c r="C20" i="57" s="1"/>
  <c r="C28" i="57"/>
  <c r="E227" i="61"/>
  <c r="E228" i="61" s="1"/>
  <c r="L60" i="46"/>
  <c r="E225" i="61"/>
  <c r="E226" i="61" s="1"/>
  <c r="M4" i="61"/>
  <c r="M8" i="61" s="1"/>
  <c r="E41" i="12"/>
  <c r="E31" i="71"/>
  <c r="E27" i="57"/>
  <c r="D28" i="57"/>
  <c r="E65" i="11"/>
  <c r="A23" i="26"/>
  <c r="A24" i="26" s="1"/>
  <c r="A25" i="26" s="1"/>
  <c r="G23" i="26"/>
  <c r="D31" i="71"/>
  <c r="G76" i="46"/>
  <c r="F112" i="71"/>
  <c r="G41" i="44"/>
  <c r="E25" i="7"/>
  <c r="E106" i="46"/>
  <c r="D33" i="71"/>
  <c r="E33" i="71"/>
  <c r="D23" i="7"/>
  <c r="E42" i="57"/>
  <c r="H56" i="44"/>
  <c r="H57" i="44" s="1"/>
  <c r="G16" i="12"/>
  <c r="J57" i="8"/>
  <c r="J43" i="8"/>
  <c r="C145" i="46"/>
  <c r="H42" i="46" s="1"/>
  <c r="K42" i="46" s="1"/>
  <c r="K57" i="46"/>
  <c r="H58" i="46"/>
  <c r="G57" i="46"/>
  <c r="G58" i="46" s="1"/>
  <c r="H89" i="46"/>
  <c r="G89" i="46" s="1"/>
  <c r="I84" i="46"/>
  <c r="G84" i="46" s="1"/>
  <c r="I82" i="46"/>
  <c r="G82" i="46" s="1"/>
  <c r="I80" i="46"/>
  <c r="G80" i="46" s="1"/>
  <c r="I78" i="46"/>
  <c r="G78" i="46" s="1"/>
  <c r="H75" i="46"/>
  <c r="G75" i="46" s="1"/>
  <c r="H87" i="46"/>
  <c r="G87" i="46" s="1"/>
  <c r="I85" i="46"/>
  <c r="G85" i="46" s="1"/>
  <c r="H77" i="46"/>
  <c r="G77" i="46" s="1"/>
  <c r="F20" i="71"/>
  <c r="E111" i="71" s="1"/>
  <c r="A24" i="71"/>
  <c r="F111" i="71"/>
  <c r="F31" i="71"/>
  <c r="F24" i="71"/>
  <c r="A9" i="31"/>
  <c r="H22" i="31"/>
  <c r="A28" i="12"/>
  <c r="A29" i="12" s="1"/>
  <c r="A39" i="12" s="1"/>
  <c r="A40" i="12" s="1"/>
  <c r="A41" i="12" s="1"/>
  <c r="A42" i="12" s="1"/>
  <c r="A43" i="12" s="1"/>
  <c r="A44" i="12" s="1"/>
  <c r="I135" i="1" s="1"/>
  <c r="E83" i="7"/>
  <c r="E47" i="7"/>
  <c r="A26" i="7"/>
  <c r="A27" i="7" s="1"/>
  <c r="A28" i="7" s="1"/>
  <c r="A29" i="7" s="1"/>
  <c r="A30" i="7" s="1"/>
  <c r="A31" i="7" s="1"/>
  <c r="A32" i="7" s="1"/>
  <c r="A33" i="7" s="1"/>
  <c r="A34" i="7" s="1"/>
  <c r="A35" i="7" s="1"/>
  <c r="A36" i="7" s="1"/>
  <c r="E121" i="46"/>
  <c r="D12" i="56"/>
  <c r="J24" i="8"/>
  <c r="A24" i="22"/>
  <c r="G27" i="22" s="1"/>
  <c r="A13" i="56"/>
  <c r="A14" i="56" s="1"/>
  <c r="A15" i="56" s="1"/>
  <c r="A16" i="56" s="1"/>
  <c r="A17" i="56" s="1"/>
  <c r="A13" i="8"/>
  <c r="A14" i="8" s="1"/>
  <c r="A15" i="8" s="1"/>
  <c r="A47" i="11"/>
  <c r="H40" i="12" s="1"/>
  <c r="A32" i="44"/>
  <c r="G55" i="44"/>
  <c r="A26" i="65" l="1"/>
  <c r="A27" i="65" s="1"/>
  <c r="A28" i="65" s="1"/>
  <c r="A29" i="65" s="1"/>
  <c r="A30" i="65" s="1"/>
  <c r="A31" i="65" s="1"/>
  <c r="A32" i="65" s="1"/>
  <c r="A33" i="65" s="1"/>
  <c r="A34" i="65" s="1"/>
  <c r="A35" i="65" s="1"/>
  <c r="A36" i="65" s="1"/>
  <c r="B103" i="65"/>
  <c r="B98" i="65"/>
  <c r="B114" i="65"/>
  <c r="M219" i="61"/>
  <c r="J219" i="61"/>
  <c r="N219" i="61"/>
  <c r="F91" i="12"/>
  <c r="A56" i="46"/>
  <c r="A57" i="46" s="1"/>
  <c r="A58" i="46" s="1"/>
  <c r="A32" i="57"/>
  <c r="A33" i="57" s="1"/>
  <c r="D17" i="56"/>
  <c r="E124" i="46"/>
  <c r="E28" i="57"/>
  <c r="E33" i="57" s="1"/>
  <c r="E40" i="57" s="1"/>
  <c r="E43" i="57" s="1"/>
  <c r="E229" i="61"/>
  <c r="I93" i="46"/>
  <c r="H96" i="46"/>
  <c r="I95" i="46"/>
  <c r="I94" i="46"/>
  <c r="H94" i="46"/>
  <c r="K83" i="1"/>
  <c r="H15" i="8"/>
  <c r="H43" i="46"/>
  <c r="H60" i="46" s="1"/>
  <c r="A26" i="26"/>
  <c r="A27" i="26" s="1"/>
  <c r="A28" i="26" s="1"/>
  <c r="G25" i="26"/>
  <c r="H59" i="44"/>
  <c r="H78" i="44" s="1"/>
  <c r="H65" i="44"/>
  <c r="H66" i="44" s="1"/>
  <c r="H79" i="44" s="1"/>
  <c r="J42" i="46"/>
  <c r="C105" i="46" s="1"/>
  <c r="C106" i="46" s="1"/>
  <c r="D105" i="46"/>
  <c r="K43" i="46"/>
  <c r="G42" i="46"/>
  <c r="G43" i="46" s="1"/>
  <c r="G60" i="46" s="1"/>
  <c r="D120" i="46"/>
  <c r="J57" i="46"/>
  <c r="J58" i="46" s="1"/>
  <c r="K58" i="46"/>
  <c r="A25" i="71"/>
  <c r="A26" i="71" s="1"/>
  <c r="A33" i="44"/>
  <c r="B48" i="44" s="1"/>
  <c r="G64" i="44"/>
  <c r="A18" i="8"/>
  <c r="A37" i="7"/>
  <c r="A38" i="7" s="1"/>
  <c r="A39" i="7" s="1"/>
  <c r="A40" i="7" s="1"/>
  <c r="A41" i="7" s="1"/>
  <c r="A42" i="7" s="1"/>
  <c r="A43" i="7" s="1"/>
  <c r="A44" i="7" s="1"/>
  <c r="A45" i="7" s="1"/>
  <c r="A46" i="7" s="1"/>
  <c r="A54" i="12"/>
  <c r="B40" i="31"/>
  <c r="B35" i="31"/>
  <c r="A10" i="31"/>
  <c r="A22" i="1"/>
  <c r="A23" i="1" s="1"/>
  <c r="A24" i="1" s="1"/>
  <c r="I34" i="1" s="1"/>
  <c r="A48" i="11"/>
  <c r="H41" i="12" s="1"/>
  <c r="A18" i="56"/>
  <c r="A19" i="56" s="1"/>
  <c r="A20" i="56" s="1"/>
  <c r="A26" i="22"/>
  <c r="I15" i="1" s="1"/>
  <c r="G26" i="22"/>
  <c r="A21" i="32"/>
  <c r="A22" i="32" s="1"/>
  <c r="A26" i="32" s="1"/>
  <c r="D106" i="46" l="1"/>
  <c r="A38" i="65"/>
  <c r="A39" i="65" s="1"/>
  <c r="A40" i="65" s="1"/>
  <c r="B7" i="65"/>
  <c r="F40" i="65"/>
  <c r="B9" i="65"/>
  <c r="B94" i="65"/>
  <c r="E231" i="61"/>
  <c r="E232" i="61" s="1"/>
  <c r="G52" i="21"/>
  <c r="G59" i="21"/>
  <c r="G62" i="4"/>
  <c r="G57" i="4"/>
  <c r="A59" i="46"/>
  <c r="A60" i="46" s="1"/>
  <c r="E63" i="46"/>
  <c r="A41" i="65"/>
  <c r="C29" i="57"/>
  <c r="C31" i="57" s="1"/>
  <c r="C33" i="57" s="1"/>
  <c r="C40" i="57" s="1"/>
  <c r="C43" i="57" s="1"/>
  <c r="A34" i="57"/>
  <c r="A35" i="57" s="1"/>
  <c r="A36" i="57" s="1"/>
  <c r="A37" i="57" s="1"/>
  <c r="A38" i="57" s="1"/>
  <c r="A39" i="57" s="1"/>
  <c r="A40" i="57" s="1"/>
  <c r="A41" i="57" s="1"/>
  <c r="A42" i="57" s="1"/>
  <c r="A43" i="57" s="1"/>
  <c r="A44" i="57" s="1"/>
  <c r="A45" i="57" s="1"/>
  <c r="G40" i="57"/>
  <c r="G33" i="57"/>
  <c r="G73" i="44"/>
  <c r="I85" i="64"/>
  <c r="D29" i="57"/>
  <c r="D31" i="57" s="1"/>
  <c r="D33" i="57" s="1"/>
  <c r="D40" i="57" s="1"/>
  <c r="D43" i="57" s="1"/>
  <c r="D45" i="57" s="1"/>
  <c r="B10" i="31" s="1"/>
  <c r="H93" i="46"/>
  <c r="G93" i="46" s="1"/>
  <c r="H95" i="46"/>
  <c r="G95" i="46" s="1"/>
  <c r="I96" i="46"/>
  <c r="G96" i="46" s="1"/>
  <c r="G94" i="46"/>
  <c r="K75" i="1"/>
  <c r="A47" i="7"/>
  <c r="A48" i="7" s="1"/>
  <c r="G50" i="22"/>
  <c r="F28" i="54"/>
  <c r="G54" i="22"/>
  <c r="G24" i="22"/>
  <c r="I55" i="1"/>
  <c r="K60" i="46"/>
  <c r="G22" i="32"/>
  <c r="G27" i="26"/>
  <c r="A55" i="12"/>
  <c r="A56" i="12" s="1"/>
  <c r="A57" i="12" s="1"/>
  <c r="A58" i="12" s="1"/>
  <c r="A59" i="12" s="1"/>
  <c r="H61" i="8" s="1"/>
  <c r="B185" i="71"/>
  <c r="B188" i="71"/>
  <c r="J43" i="46"/>
  <c r="J60" i="46" s="1"/>
  <c r="F26" i="71"/>
  <c r="D121" i="46"/>
  <c r="H120" i="46"/>
  <c r="G120" i="46" s="1"/>
  <c r="C120" i="46"/>
  <c r="C121" i="46" s="1"/>
  <c r="C124" i="46" s="1"/>
  <c r="A49" i="7"/>
  <c r="A50" i="7" s="1"/>
  <c r="A51" i="7" s="1"/>
  <c r="A52" i="7" s="1"/>
  <c r="A53" i="7" s="1"/>
  <c r="A54" i="7" s="1"/>
  <c r="A55" i="7" s="1"/>
  <c r="F64" i="71"/>
  <c r="A31" i="71"/>
  <c r="A32" i="71" s="1"/>
  <c r="A27" i="22"/>
  <c r="H12" i="8" s="1"/>
  <c r="A26" i="1"/>
  <c r="A27" i="32"/>
  <c r="A28" i="32" s="1"/>
  <c r="A21" i="56"/>
  <c r="A22" i="56" s="1"/>
  <c r="A23" i="56" s="1"/>
  <c r="A24" i="56" s="1"/>
  <c r="A25" i="56" s="1"/>
  <c r="A26" i="56" s="1"/>
  <c r="A49" i="11"/>
  <c r="A50" i="11" s="1"/>
  <c r="A51" i="11" s="1"/>
  <c r="A60" i="11" s="1"/>
  <c r="I24" i="1"/>
  <c r="B41" i="31"/>
  <c r="B36" i="31"/>
  <c r="A18" i="31"/>
  <c r="E40" i="7"/>
  <c r="A19" i="8"/>
  <c r="A20" i="8" s="1"/>
  <c r="A21" i="8" s="1"/>
  <c r="A34" i="44"/>
  <c r="G80" i="44"/>
  <c r="A29" i="26"/>
  <c r="G29" i="26"/>
  <c r="D124" i="46" l="1"/>
  <c r="E235" i="61"/>
  <c r="K130" i="1" s="1"/>
  <c r="J54" i="8" s="1"/>
  <c r="G43" i="57"/>
  <c r="A42" i="65"/>
  <c r="B95" i="65"/>
  <c r="G45" i="57"/>
  <c r="F42" i="65"/>
  <c r="C45" i="57"/>
  <c r="B9" i="31" s="1"/>
  <c r="D145" i="46"/>
  <c r="A61" i="46"/>
  <c r="A62" i="46" s="1"/>
  <c r="A63" i="46" s="1"/>
  <c r="A64" i="46" s="1"/>
  <c r="A74" i="46" s="1"/>
  <c r="A75" i="46" s="1"/>
  <c r="A76" i="46" s="1"/>
  <c r="A77" i="46" s="1"/>
  <c r="A78" i="46" s="1"/>
  <c r="A79" i="46" s="1"/>
  <c r="A80" i="46" s="1"/>
  <c r="A81" i="46" s="1"/>
  <c r="A82" i="46" s="1"/>
  <c r="A83" i="46" s="1"/>
  <c r="A84" i="46" s="1"/>
  <c r="A85" i="46" s="1"/>
  <c r="A86" i="46" s="1"/>
  <c r="A87" i="46" s="1"/>
  <c r="A88" i="46" s="1"/>
  <c r="A89" i="46" s="1"/>
  <c r="A90" i="46" s="1"/>
  <c r="A91" i="46" s="1"/>
  <c r="A92" i="46" s="1"/>
  <c r="A93" i="46" s="1"/>
  <c r="A94" i="46" s="1"/>
  <c r="A95" i="46" s="1"/>
  <c r="A96" i="46" s="1"/>
  <c r="A97" i="46" s="1"/>
  <c r="A98" i="46" s="1"/>
  <c r="A99" i="46" s="1"/>
  <c r="A100" i="46" s="1"/>
  <c r="A101" i="46" s="1"/>
  <c r="A102" i="46" s="1"/>
  <c r="A103" i="46" s="1"/>
  <c r="D146" i="46"/>
  <c r="A33" i="71"/>
  <c r="A34" i="71" s="1"/>
  <c r="F65" i="71" s="1"/>
  <c r="A46" i="57"/>
  <c r="A47" i="57" s="1"/>
  <c r="G9" i="31"/>
  <c r="G10" i="31"/>
  <c r="A28" i="1"/>
  <c r="A30" i="1" s="1"/>
  <c r="H54" i="12"/>
  <c r="F68" i="12"/>
  <c r="E48" i="7"/>
  <c r="B109" i="12"/>
  <c r="A68" i="12"/>
  <c r="K80" i="1"/>
  <c r="K79" i="1"/>
  <c r="K78" i="1"/>
  <c r="A19" i="31"/>
  <c r="A20" i="31" s="1"/>
  <c r="A22" i="31" s="1"/>
  <c r="A24" i="31" s="1"/>
  <c r="A27" i="31" s="1"/>
  <c r="A56" i="7"/>
  <c r="A57" i="7" s="1"/>
  <c r="A58" i="7" s="1"/>
  <c r="A59" i="7" s="1"/>
  <c r="A60" i="7" s="1"/>
  <c r="A61" i="7" s="1"/>
  <c r="E55" i="7" s="1"/>
  <c r="B189" i="71"/>
  <c r="B186" i="71"/>
  <c r="A35" i="71"/>
  <c r="A36" i="71" s="1"/>
  <c r="A23" i="8"/>
  <c r="H29" i="8"/>
  <c r="A30" i="26"/>
  <c r="I125" i="1" s="1"/>
  <c r="G30" i="26"/>
  <c r="H21" i="8"/>
  <c r="D26" i="56"/>
  <c r="G28" i="32"/>
  <c r="A34" i="22"/>
  <c r="A41" i="44"/>
  <c r="A42" i="44" s="1"/>
  <c r="A61" i="11"/>
  <c r="A27" i="56"/>
  <c r="A28" i="56" s="1"/>
  <c r="D28" i="56"/>
  <c r="K88" i="1" l="1"/>
  <c r="K89" i="1"/>
  <c r="E96" i="8" s="1"/>
  <c r="C36" i="71"/>
  <c r="A43" i="65"/>
  <c r="A44" i="65" s="1"/>
  <c r="F43" i="65"/>
  <c r="A31" i="1"/>
  <c r="A32" i="1" s="1"/>
  <c r="A34" i="1" s="1"/>
  <c r="I115" i="1" s="1"/>
  <c r="A104" i="46"/>
  <c r="A105" i="46" s="1"/>
  <c r="A106" i="46" s="1"/>
  <c r="A107" i="46" s="1"/>
  <c r="A115" i="46" s="1"/>
  <c r="A116" i="46" s="1"/>
  <c r="A117" i="46" s="1"/>
  <c r="A118" i="46" s="1"/>
  <c r="A119" i="46" s="1"/>
  <c r="A120" i="46" s="1"/>
  <c r="A121" i="46" s="1"/>
  <c r="A122" i="46" s="1"/>
  <c r="A123" i="46" s="1"/>
  <c r="A124" i="46" s="1"/>
  <c r="A125" i="46" s="1"/>
  <c r="G12" i="32"/>
  <c r="G26" i="32"/>
  <c r="G20" i="32"/>
  <c r="E15" i="2"/>
  <c r="A37" i="71"/>
  <c r="F34" i="71"/>
  <c r="H55" i="12"/>
  <c r="F69" i="12"/>
  <c r="F93" i="12"/>
  <c r="E97" i="8"/>
  <c r="A35" i="22"/>
  <c r="A36" i="22" s="1"/>
  <c r="A37" i="22" s="1"/>
  <c r="A38" i="22" s="1"/>
  <c r="A39" i="22" s="1"/>
  <c r="A40" i="22" s="1"/>
  <c r="A41" i="22" s="1"/>
  <c r="A42" i="22" s="1"/>
  <c r="A43" i="22" s="1"/>
  <c r="A44" i="22" s="1"/>
  <c r="A45" i="22" s="1"/>
  <c r="A46" i="22" s="1"/>
  <c r="G49" i="22" s="1"/>
  <c r="K90" i="1"/>
  <c r="I102" i="46"/>
  <c r="H102" i="46"/>
  <c r="A34" i="56"/>
  <c r="A35" i="56" s="1"/>
  <c r="A36" i="56" s="1"/>
  <c r="A37" i="56" s="1"/>
  <c r="A38" i="56" s="1"/>
  <c r="E63" i="7"/>
  <c r="A69" i="12"/>
  <c r="A70" i="12" s="1"/>
  <c r="A71" i="12" s="1"/>
  <c r="A81" i="12" s="1"/>
  <c r="A82" i="12" s="1"/>
  <c r="A83" i="12" s="1"/>
  <c r="A84" i="12" s="1"/>
  <c r="A85" i="12" s="1"/>
  <c r="A86" i="12" s="1"/>
  <c r="B38" i="31"/>
  <c r="H27" i="31"/>
  <c r="G15" i="12"/>
  <c r="G17" i="12" s="1"/>
  <c r="K81" i="1"/>
  <c r="A62" i="7"/>
  <c r="A63" i="7" s="1"/>
  <c r="E59" i="7"/>
  <c r="A38" i="71"/>
  <c r="A41" i="71" s="1"/>
  <c r="A46" i="71" s="1"/>
  <c r="A47" i="71" s="1"/>
  <c r="A48" i="71" s="1"/>
  <c r="B98" i="44"/>
  <c r="A43" i="44"/>
  <c r="A37" i="26"/>
  <c r="G79" i="26" s="1"/>
  <c r="A62" i="11"/>
  <c r="B99" i="44"/>
  <c r="A24" i="8"/>
  <c r="G91" i="12" s="1"/>
  <c r="E95" i="8" l="1"/>
  <c r="E98" i="8" s="1"/>
  <c r="J33" i="8" s="1"/>
  <c r="K91" i="1"/>
  <c r="D21" i="7"/>
  <c r="F44" i="65"/>
  <c r="A45" i="65"/>
  <c r="A46" i="65" s="1"/>
  <c r="A47" i="65" s="1"/>
  <c r="A48" i="65" s="1"/>
  <c r="A49" i="65" s="1"/>
  <c r="A50" i="65" s="1"/>
  <c r="A51" i="65" s="1"/>
  <c r="A52" i="65" s="1"/>
  <c r="A53" i="65" s="1"/>
  <c r="A54" i="65" s="1"/>
  <c r="F41" i="65"/>
  <c r="I149" i="1"/>
  <c r="A39" i="1"/>
  <c r="A40" i="1" s="1"/>
  <c r="A41" i="1" s="1"/>
  <c r="A43" i="1" s="1"/>
  <c r="A44" i="1" s="1"/>
  <c r="E103" i="8"/>
  <c r="J42" i="8" s="1"/>
  <c r="K93" i="1"/>
  <c r="I35" i="1"/>
  <c r="B125" i="46"/>
  <c r="H56" i="12"/>
  <c r="F70" i="12"/>
  <c r="E64" i="7"/>
  <c r="E69" i="7"/>
  <c r="G102" i="46"/>
  <c r="A25" i="8"/>
  <c r="G53" i="22"/>
  <c r="A64" i="7"/>
  <c r="A65" i="7" s="1"/>
  <c r="B110" i="12"/>
  <c r="A90" i="12"/>
  <c r="E83" i="12"/>
  <c r="F83" i="12" s="1"/>
  <c r="E82" i="12"/>
  <c r="F82" i="12" s="1"/>
  <c r="E81" i="12"/>
  <c r="F81" i="12" s="1"/>
  <c r="D51" i="7"/>
  <c r="G39" i="12"/>
  <c r="G40" i="12"/>
  <c r="G41" i="12"/>
  <c r="D41" i="71"/>
  <c r="G55" i="12"/>
  <c r="G56" i="12"/>
  <c r="G54" i="12"/>
  <c r="A53" i="71"/>
  <c r="A54" i="71" s="1"/>
  <c r="A55" i="71" s="1"/>
  <c r="F66" i="71"/>
  <c r="G44" i="44"/>
  <c r="A44" i="44"/>
  <c r="A49" i="22"/>
  <c r="A63" i="11"/>
  <c r="A64" i="11" s="1"/>
  <c r="A65" i="11" s="1"/>
  <c r="A72" i="11" s="1"/>
  <c r="A73" i="11" s="1"/>
  <c r="A74" i="11" s="1"/>
  <c r="A75" i="11" s="1"/>
  <c r="A76" i="11" s="1"/>
  <c r="A77" i="11" s="1"/>
  <c r="A78" i="11" s="1"/>
  <c r="A79" i="11" s="1"/>
  <c r="A80" i="11" s="1"/>
  <c r="A81" i="11" s="1"/>
  <c r="A82" i="11" s="1"/>
  <c r="A83" i="11" s="1"/>
  <c r="A84" i="11" s="1"/>
  <c r="A38" i="26"/>
  <c r="A39" i="26" s="1"/>
  <c r="A40" i="26" s="1"/>
  <c r="A41" i="26" s="1"/>
  <c r="A42" i="26" s="1"/>
  <c r="A43" i="26" s="1"/>
  <c r="C80" i="26" s="1"/>
  <c r="A39" i="56"/>
  <c r="A40" i="56" s="1"/>
  <c r="E25" i="71" l="1"/>
  <c r="E26" i="71" s="1"/>
  <c r="D103" i="71" s="1"/>
  <c r="D25" i="71"/>
  <c r="D26" i="71" s="1"/>
  <c r="D86" i="71" s="1"/>
  <c r="D32" i="71"/>
  <c r="D34" i="71" s="1"/>
  <c r="E86" i="71" s="1"/>
  <c r="D160" i="71" s="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I41" i="1"/>
  <c r="A26" i="8"/>
  <c r="A27" i="8" s="1"/>
  <c r="A29" i="8" s="1"/>
  <c r="I124" i="1"/>
  <c r="E65" i="7"/>
  <c r="D40" i="56"/>
  <c r="A66" i="7"/>
  <c r="A67" i="7" s="1"/>
  <c r="A68" i="7" s="1"/>
  <c r="A69" i="7" s="1"/>
  <c r="A70" i="7" s="1"/>
  <c r="A50" i="22"/>
  <c r="A51" i="22" s="1"/>
  <c r="H13" i="8" s="1"/>
  <c r="F86" i="12"/>
  <c r="A91" i="12"/>
  <c r="A92" i="12" s="1"/>
  <c r="H46" i="11"/>
  <c r="H47" i="11"/>
  <c r="H48" i="11"/>
  <c r="D22" i="7"/>
  <c r="D25" i="7" s="1"/>
  <c r="E112" i="71" s="1"/>
  <c r="E113" i="71" s="1"/>
  <c r="D129" i="71" s="1"/>
  <c r="E32" i="71"/>
  <c r="E34" i="71" s="1"/>
  <c r="D48" i="71"/>
  <c r="E55" i="71"/>
  <c r="E48" i="71"/>
  <c r="D55" i="71"/>
  <c r="D55" i="7"/>
  <c r="D59" i="7"/>
  <c r="E77" i="71"/>
  <c r="E82" i="71"/>
  <c r="D65" i="71"/>
  <c r="E84" i="71"/>
  <c r="E79" i="71"/>
  <c r="D101" i="71"/>
  <c r="D96" i="71"/>
  <c r="E64" i="71"/>
  <c r="D94" i="71"/>
  <c r="D95" i="71"/>
  <c r="D98" i="71"/>
  <c r="D97" i="71"/>
  <c r="D99" i="71"/>
  <c r="D100" i="71"/>
  <c r="D102" i="71"/>
  <c r="G59" i="12"/>
  <c r="J61" i="8" s="1"/>
  <c r="J62" i="8" s="1"/>
  <c r="G44" i="12"/>
  <c r="K135" i="1" s="1"/>
  <c r="D81" i="71"/>
  <c r="D82" i="71"/>
  <c r="D83" i="71"/>
  <c r="D80" i="71"/>
  <c r="D64" i="71"/>
  <c r="D85" i="71"/>
  <c r="D77" i="71"/>
  <c r="D78" i="71"/>
  <c r="D79" i="71"/>
  <c r="D84" i="71"/>
  <c r="A56" i="71"/>
  <c r="A57" i="71" s="1"/>
  <c r="F67" i="71"/>
  <c r="A41" i="56"/>
  <c r="A42" i="56" s="1"/>
  <c r="E16" i="2" s="1"/>
  <c r="D42" i="56"/>
  <c r="A85" i="11"/>
  <c r="G87" i="44"/>
  <c r="A55" i="44"/>
  <c r="A44" i="26"/>
  <c r="A53" i="22"/>
  <c r="A45" i="1"/>
  <c r="D178" i="71" l="1"/>
  <c r="E78" i="71"/>
  <c r="E80" i="71"/>
  <c r="D154" i="71" s="1"/>
  <c r="E83" i="71"/>
  <c r="E81" i="71"/>
  <c r="D173" i="71" s="1"/>
  <c r="E85" i="71"/>
  <c r="G85" i="71" s="1"/>
  <c r="H85" i="71" s="1"/>
  <c r="G86" i="71"/>
  <c r="H86" i="71" s="1"/>
  <c r="K136" i="1"/>
  <c r="B113" i="65"/>
  <c r="A78" i="65"/>
  <c r="A79" i="65" s="1"/>
  <c r="A80" i="65" s="1"/>
  <c r="A81" i="65" s="1"/>
  <c r="A82" i="65" s="1"/>
  <c r="A83" i="65" s="1"/>
  <c r="A84" i="65" s="1"/>
  <c r="A85" i="65" s="1"/>
  <c r="A86" i="65" s="1"/>
  <c r="A87" i="65" s="1"/>
  <c r="A88" i="65" s="1"/>
  <c r="A89" i="65" s="1"/>
  <c r="A90" i="65" s="1"/>
  <c r="A91" i="65" s="1"/>
  <c r="B107" i="65" s="1"/>
  <c r="B106" i="65"/>
  <c r="B117" i="65"/>
  <c r="E95" i="71"/>
  <c r="E103" i="71"/>
  <c r="G103" i="71" s="1"/>
  <c r="H103" i="71" s="1"/>
  <c r="E178" i="71"/>
  <c r="F178" i="71" s="1"/>
  <c r="G178" i="71" s="1"/>
  <c r="E160" i="71"/>
  <c r="F160" i="71" s="1"/>
  <c r="G160" i="71" s="1"/>
  <c r="G90" i="12"/>
  <c r="H41" i="8"/>
  <c r="A33" i="8"/>
  <c r="H30" i="8"/>
  <c r="I129" i="15"/>
  <c r="I89" i="15"/>
  <c r="I69" i="15"/>
  <c r="A64" i="71"/>
  <c r="A65" i="71" s="1"/>
  <c r="F48" i="71"/>
  <c r="F55" i="71"/>
  <c r="E101" i="71"/>
  <c r="E97" i="71"/>
  <c r="E99" i="71"/>
  <c r="E94" i="71"/>
  <c r="E96" i="71"/>
  <c r="E100" i="71"/>
  <c r="E102" i="71"/>
  <c r="E65" i="71"/>
  <c r="E98" i="71"/>
  <c r="I40" i="1"/>
  <c r="D47" i="7"/>
  <c r="D48" i="7" s="1"/>
  <c r="D83" i="7"/>
  <c r="D84" i="7" s="1"/>
  <c r="G92" i="12"/>
  <c r="A71" i="7"/>
  <c r="E71" i="7"/>
  <c r="H41" i="44"/>
  <c r="H87" i="44" s="1"/>
  <c r="A45" i="26"/>
  <c r="A46" i="26" s="1"/>
  <c r="A47" i="26" s="1"/>
  <c r="A48" i="26" s="1"/>
  <c r="A49" i="26" s="1"/>
  <c r="A50" i="26" s="1"/>
  <c r="C74" i="26"/>
  <c r="A54" i="22"/>
  <c r="A55" i="22" s="1"/>
  <c r="I16" i="1" s="1"/>
  <c r="G51" i="22"/>
  <c r="A93" i="12"/>
  <c r="A94" i="12" s="1"/>
  <c r="G98" i="12" s="1"/>
  <c r="A94" i="11"/>
  <c r="A95" i="11" s="1"/>
  <c r="A96" i="11" s="1"/>
  <c r="A97" i="11" s="1"/>
  <c r="A98" i="11" s="1"/>
  <c r="A99" i="11" s="1"/>
  <c r="A100" i="11" s="1"/>
  <c r="A101" i="11" s="1"/>
  <c r="A102" i="11" s="1"/>
  <c r="A103" i="11" s="1"/>
  <c r="A104" i="11" s="1"/>
  <c r="A105" i="11" s="1"/>
  <c r="A106" i="11" s="1"/>
  <c r="A107" i="11" s="1"/>
  <c r="A117" i="11" s="1"/>
  <c r="H61" i="11"/>
  <c r="H60" i="11"/>
  <c r="H62" i="11"/>
  <c r="D176" i="71"/>
  <c r="D158" i="71"/>
  <c r="D159" i="71"/>
  <c r="D177" i="71"/>
  <c r="D172" i="71"/>
  <c r="D174" i="71"/>
  <c r="D156" i="71"/>
  <c r="D153" i="71"/>
  <c r="D171" i="71"/>
  <c r="D157" i="71"/>
  <c r="D175" i="71"/>
  <c r="D155" i="71"/>
  <c r="D120" i="71"/>
  <c r="E169" i="71" s="1"/>
  <c r="E138" i="71"/>
  <c r="G84" i="71"/>
  <c r="H84" i="71" s="1"/>
  <c r="G80" i="71"/>
  <c r="H80" i="71" s="1"/>
  <c r="G82" i="71"/>
  <c r="H82" i="71" s="1"/>
  <c r="G79" i="71"/>
  <c r="H79" i="71" s="1"/>
  <c r="G83" i="71"/>
  <c r="H83" i="71" s="1"/>
  <c r="G81" i="71"/>
  <c r="H81" i="71" s="1"/>
  <c r="E114" i="71"/>
  <c r="E115" i="71" s="1"/>
  <c r="E129" i="71" s="1"/>
  <c r="D105" i="71"/>
  <c r="E88" i="71"/>
  <c r="F78" i="71"/>
  <c r="D170" i="71" s="1"/>
  <c r="D67" i="71"/>
  <c r="F95" i="71"/>
  <c r="E67" i="71"/>
  <c r="D88" i="71"/>
  <c r="F94" i="71"/>
  <c r="E66" i="71"/>
  <c r="F77" i="71"/>
  <c r="G77" i="71" s="1"/>
  <c r="D66" i="71"/>
  <c r="D127" i="71"/>
  <c r="D124" i="71"/>
  <c r="D123" i="71"/>
  <c r="D126" i="71"/>
  <c r="D128" i="71"/>
  <c r="D121" i="71"/>
  <c r="D125" i="71"/>
  <c r="D122" i="71"/>
  <c r="A56" i="44"/>
  <c r="A57" i="44" s="1"/>
  <c r="G59" i="44" s="1"/>
  <c r="A46" i="1"/>
  <c r="A47" i="1" s="1"/>
  <c r="A48" i="1" s="1"/>
  <c r="G95" i="71" l="1"/>
  <c r="H34" i="8"/>
  <c r="A34" i="8"/>
  <c r="G94" i="71"/>
  <c r="H94" i="71" s="1"/>
  <c r="G102" i="71"/>
  <c r="H102" i="71" s="1"/>
  <c r="G99" i="71"/>
  <c r="H99" i="71" s="1"/>
  <c r="G100" i="71"/>
  <c r="H100" i="71" s="1"/>
  <c r="G97" i="71"/>
  <c r="H97" i="71" s="1"/>
  <c r="G98" i="71"/>
  <c r="H98" i="71" s="1"/>
  <c r="G96" i="71"/>
  <c r="H96" i="71" s="1"/>
  <c r="G101" i="71"/>
  <c r="H101" i="71" s="1"/>
  <c r="C22" i="17"/>
  <c r="A72" i="7"/>
  <c r="A73" i="7" s="1"/>
  <c r="A74" i="7" s="1"/>
  <c r="A75" i="7" s="1"/>
  <c r="A76" i="7" s="1"/>
  <c r="A77" i="7" s="1"/>
  <c r="A78" i="7" s="1"/>
  <c r="A79" i="7" s="1"/>
  <c r="A80" i="7" s="1"/>
  <c r="A81" i="7" s="1"/>
  <c r="A82" i="7" s="1"/>
  <c r="A83" i="7" s="1"/>
  <c r="A84" i="7" s="1"/>
  <c r="A85" i="7" s="1"/>
  <c r="A86" i="7" s="1"/>
  <c r="E88" i="7" s="1"/>
  <c r="A118" i="11"/>
  <c r="A119" i="11" s="1"/>
  <c r="A120" i="11" s="1"/>
  <c r="A121" i="11" s="1"/>
  <c r="A122" i="11" s="1"/>
  <c r="A123" i="11" s="1"/>
  <c r="A124" i="11" s="1"/>
  <c r="A125" i="11" s="1"/>
  <c r="A126" i="11" s="1"/>
  <c r="A127" i="11" s="1"/>
  <c r="A128" i="11" s="1"/>
  <c r="A129" i="11" s="1"/>
  <c r="F69" i="11" s="1"/>
  <c r="D63" i="7"/>
  <c r="D64" i="7" s="1"/>
  <c r="E105" i="71"/>
  <c r="C23" i="17"/>
  <c r="I53" i="1"/>
  <c r="G55" i="22"/>
  <c r="A98" i="12"/>
  <c r="G94" i="12"/>
  <c r="E137" i="71"/>
  <c r="E153" i="71"/>
  <c r="F153" i="71" s="1"/>
  <c r="G153" i="71" s="1"/>
  <c r="E171" i="71"/>
  <c r="F171" i="71" s="1"/>
  <c r="G171" i="71" s="1"/>
  <c r="E152" i="71"/>
  <c r="E170" i="71"/>
  <c r="F170" i="71" s="1"/>
  <c r="E157" i="71"/>
  <c r="F157" i="71" s="1"/>
  <c r="G157" i="71" s="1"/>
  <c r="E175" i="71"/>
  <c r="F175" i="71" s="1"/>
  <c r="G175" i="71" s="1"/>
  <c r="E155" i="71"/>
  <c r="F155" i="71" s="1"/>
  <c r="G155" i="71" s="1"/>
  <c r="E173" i="71"/>
  <c r="F173" i="71" s="1"/>
  <c r="G173" i="71" s="1"/>
  <c r="A66" i="71"/>
  <c r="D151" i="71"/>
  <c r="D152" i="71"/>
  <c r="E156" i="71"/>
  <c r="F156" i="71" s="1"/>
  <c r="E174" i="71"/>
  <c r="F174" i="71" s="1"/>
  <c r="G174" i="71" s="1"/>
  <c r="E159" i="71"/>
  <c r="F159" i="71" s="1"/>
  <c r="G159" i="71" s="1"/>
  <c r="E177" i="71"/>
  <c r="F177" i="71" s="1"/>
  <c r="G177" i="71" s="1"/>
  <c r="E154" i="71"/>
  <c r="F154" i="71" s="1"/>
  <c r="E172" i="71"/>
  <c r="F172" i="71" s="1"/>
  <c r="G172" i="71" s="1"/>
  <c r="E158" i="71"/>
  <c r="E176" i="71"/>
  <c r="F176" i="71" s="1"/>
  <c r="G176" i="71" s="1"/>
  <c r="E128" i="71"/>
  <c r="E126" i="71"/>
  <c r="E124" i="71"/>
  <c r="E122" i="71"/>
  <c r="E120" i="71"/>
  <c r="E127" i="71"/>
  <c r="E125" i="71"/>
  <c r="E123" i="71"/>
  <c r="E121" i="71"/>
  <c r="D169" i="71"/>
  <c r="H77" i="71"/>
  <c r="G78" i="71"/>
  <c r="G88" i="71" s="1"/>
  <c r="E68" i="71"/>
  <c r="E69" i="71" s="1"/>
  <c r="D68" i="71"/>
  <c r="D69" i="71" s="1"/>
  <c r="F88" i="71"/>
  <c r="F105" i="71"/>
  <c r="E151" i="71"/>
  <c r="D131" i="71"/>
  <c r="I44" i="1"/>
  <c r="A58" i="44"/>
  <c r="A59" i="44" s="1"/>
  <c r="G65" i="44"/>
  <c r="A49" i="1"/>
  <c r="A50" i="1" s="1"/>
  <c r="A51" i="1" s="1"/>
  <c r="A52" i="1" s="1"/>
  <c r="C20" i="17" s="1"/>
  <c r="E73" i="7" l="1"/>
  <c r="A87" i="7"/>
  <c r="A88" i="7" s="1"/>
  <c r="A89" i="7" s="1"/>
  <c r="A90" i="7" s="1"/>
  <c r="A91" i="7" s="1"/>
  <c r="I148" i="1" s="1"/>
  <c r="A38" i="8"/>
  <c r="H55" i="8"/>
  <c r="E89" i="7"/>
  <c r="E79" i="7"/>
  <c r="A137" i="11"/>
  <c r="A138" i="11" s="1"/>
  <c r="A139" i="11" s="1"/>
  <c r="A140" i="11" s="1"/>
  <c r="A141" i="11" s="1"/>
  <c r="A142" i="11" s="1"/>
  <c r="A143" i="11" s="1"/>
  <c r="A144" i="11" s="1"/>
  <c r="A145" i="11" s="1"/>
  <c r="A146" i="11" s="1"/>
  <c r="A147" i="11" s="1"/>
  <c r="A148" i="11" s="1"/>
  <c r="A149" i="11" s="1"/>
  <c r="A157" i="11" s="1"/>
  <c r="D69" i="7"/>
  <c r="G105" i="71"/>
  <c r="D65" i="7"/>
  <c r="G90" i="44"/>
  <c r="A99" i="12"/>
  <c r="A100" i="12" s="1"/>
  <c r="A101" i="12" s="1"/>
  <c r="A53" i="1"/>
  <c r="A54" i="1" s="1"/>
  <c r="I52" i="1"/>
  <c r="E139" i="71"/>
  <c r="E143" i="71" s="1"/>
  <c r="E131" i="71"/>
  <c r="F158" i="71"/>
  <c r="G158" i="71" s="1"/>
  <c r="G154" i="71"/>
  <c r="G156" i="71"/>
  <c r="F151" i="71"/>
  <c r="G170" i="71"/>
  <c r="F169" i="71"/>
  <c r="F180" i="71" s="1"/>
  <c r="D180" i="71"/>
  <c r="F152" i="71"/>
  <c r="G152" i="71" s="1"/>
  <c r="E180" i="71"/>
  <c r="A67" i="71"/>
  <c r="B183" i="71" s="1"/>
  <c r="H78" i="71"/>
  <c r="H88" i="71" s="1"/>
  <c r="H95" i="71"/>
  <c r="H105" i="71" s="1"/>
  <c r="E162" i="71"/>
  <c r="E91" i="7"/>
  <c r="E80" i="7"/>
  <c r="E86" i="7"/>
  <c r="E84" i="7"/>
  <c r="G78" i="44"/>
  <c r="A64" i="44"/>
  <c r="B187" i="71" l="1"/>
  <c r="B190" i="71"/>
  <c r="H56" i="8"/>
  <c r="A41" i="8"/>
  <c r="A42" i="8" s="1"/>
  <c r="A43" i="8" s="1"/>
  <c r="A44" i="8" s="1"/>
  <c r="A45" i="8" s="1"/>
  <c r="A48" i="8" s="1"/>
  <c r="H69" i="11"/>
  <c r="A158" i="11"/>
  <c r="A159" i="11" s="1"/>
  <c r="A160" i="11" s="1"/>
  <c r="A161" i="11" s="1"/>
  <c r="A162" i="11" s="1"/>
  <c r="A163" i="11" s="1"/>
  <c r="A164" i="11" s="1"/>
  <c r="A165" i="11" s="1"/>
  <c r="A166" i="11" s="1"/>
  <c r="A167" i="11" s="1"/>
  <c r="A168" i="11" s="1"/>
  <c r="A169" i="11" s="1"/>
  <c r="A176" i="11" s="1"/>
  <c r="A177" i="11" s="1"/>
  <c r="A178" i="11" s="1"/>
  <c r="A179" i="11" s="1"/>
  <c r="A180" i="11" s="1"/>
  <c r="A181" i="11" s="1"/>
  <c r="A182" i="11" s="1"/>
  <c r="A183" i="11" s="1"/>
  <c r="A184" i="11" s="1"/>
  <c r="A185" i="11" s="1"/>
  <c r="A186" i="11" s="1"/>
  <c r="A187" i="11" s="1"/>
  <c r="A188" i="11" s="1"/>
  <c r="A195" i="11" s="1"/>
  <c r="A196" i="11" s="1"/>
  <c r="A197" i="11" s="1"/>
  <c r="A198" i="11" s="1"/>
  <c r="A199" i="11" s="1"/>
  <c r="A200" i="11" s="1"/>
  <c r="A201" i="11" s="1"/>
  <c r="A202" i="11" s="1"/>
  <c r="A203" i="11" s="1"/>
  <c r="A204" i="11" s="1"/>
  <c r="A205" i="11" s="1"/>
  <c r="A206" i="11" s="1"/>
  <c r="A207" i="11" s="1"/>
  <c r="A214" i="11" s="1"/>
  <c r="A215" i="11" s="1"/>
  <c r="A216" i="11" s="1"/>
  <c r="A217" i="11" s="1"/>
  <c r="A218" i="11" s="1"/>
  <c r="A219" i="11" s="1"/>
  <c r="A220" i="11" s="1"/>
  <c r="A221" i="11" s="1"/>
  <c r="A222" i="11" s="1"/>
  <c r="A223" i="11" s="1"/>
  <c r="A224" i="11" s="1"/>
  <c r="A225" i="11" s="1"/>
  <c r="A226" i="11" s="1"/>
  <c r="A233" i="11" s="1"/>
  <c r="A234" i="11" s="1"/>
  <c r="A235" i="11" s="1"/>
  <c r="A236" i="11" s="1"/>
  <c r="A237" i="11" s="1"/>
  <c r="A238" i="11" s="1"/>
  <c r="A239" i="11" s="1"/>
  <c r="A240" i="11" s="1"/>
  <c r="A241" i="11" s="1"/>
  <c r="A242" i="11" s="1"/>
  <c r="A243" i="11" s="1"/>
  <c r="A244" i="11" s="1"/>
  <c r="A245" i="11" s="1"/>
  <c r="A252" i="11" s="1"/>
  <c r="A253" i="11" s="1"/>
  <c r="A254" i="11" s="1"/>
  <c r="A255" i="11" s="1"/>
  <c r="A256" i="11" s="1"/>
  <c r="A257" i="11" s="1"/>
  <c r="A258" i="11" s="1"/>
  <c r="A259" i="11" s="1"/>
  <c r="A260" i="11" s="1"/>
  <c r="A261" i="11" s="1"/>
  <c r="A262" i="11" s="1"/>
  <c r="A263" i="11" s="1"/>
  <c r="A264" i="11" s="1"/>
  <c r="A271" i="11" s="1"/>
  <c r="A272" i="11" s="1"/>
  <c r="A273" i="11" s="1"/>
  <c r="A274" i="11" s="1"/>
  <c r="A275" i="11" s="1"/>
  <c r="A276" i="11" s="1"/>
  <c r="A277" i="11" s="1"/>
  <c r="A278" i="11" s="1"/>
  <c r="A279" i="11" s="1"/>
  <c r="A280" i="11" s="1"/>
  <c r="A281" i="11" s="1"/>
  <c r="A282" i="11" s="1"/>
  <c r="A283" i="11" s="1"/>
  <c r="A290" i="11" s="1"/>
  <c r="A291" i="11" s="1"/>
  <c r="A292" i="11" s="1"/>
  <c r="A293" i="11" s="1"/>
  <c r="A294" i="11" s="1"/>
  <c r="A295" i="11" s="1"/>
  <c r="A296" i="11" s="1"/>
  <c r="A297" i="11" s="1"/>
  <c r="A298" i="11" s="1"/>
  <c r="A299" i="11" s="1"/>
  <c r="A300" i="11" s="1"/>
  <c r="A301" i="11" s="1"/>
  <c r="A302" i="11" s="1"/>
  <c r="G169" i="71"/>
  <c r="G180" i="71" s="1"/>
  <c r="I54" i="1"/>
  <c r="G101" i="12"/>
  <c r="A55" i="1"/>
  <c r="A56" i="1" s="1"/>
  <c r="A58" i="1" s="1"/>
  <c r="E142" i="71"/>
  <c r="E144" i="71" s="1"/>
  <c r="F137" i="71"/>
  <c r="A68" i="71"/>
  <c r="B184" i="71" s="1"/>
  <c r="G151" i="71"/>
  <c r="F162" i="71"/>
  <c r="D162" i="71"/>
  <c r="A65" i="44"/>
  <c r="A66" i="44" s="1"/>
  <c r="A67" i="44" s="1"/>
  <c r="A68" i="44" s="1"/>
  <c r="A69" i="44" s="1"/>
  <c r="A70" i="44" s="1"/>
  <c r="A309" i="11" l="1"/>
  <c r="A310" i="11" s="1"/>
  <c r="A311" i="11" s="1"/>
  <c r="A312" i="11" s="1"/>
  <c r="A313" i="11" s="1"/>
  <c r="A314" i="11" s="1"/>
  <c r="A315" i="11" s="1"/>
  <c r="A316" i="11" s="1"/>
  <c r="A317" i="11" s="1"/>
  <c r="A318" i="11" s="1"/>
  <c r="A319" i="11" s="1"/>
  <c r="A320" i="11" s="1"/>
  <c r="A321" i="11" s="1"/>
  <c r="A326" i="11" s="1"/>
  <c r="A327" i="11" s="1"/>
  <c r="A49" i="8"/>
  <c r="A50" i="8" s="1"/>
  <c r="A51" i="8" s="1"/>
  <c r="A52" i="8" s="1"/>
  <c r="A53" i="8" s="1"/>
  <c r="A54" i="8" s="1"/>
  <c r="A55" i="8" s="1"/>
  <c r="A56" i="8" s="1"/>
  <c r="A57" i="8" s="1"/>
  <c r="A58" i="8" s="1"/>
  <c r="A59" i="8" s="1"/>
  <c r="G69" i="11"/>
  <c r="A71" i="44"/>
  <c r="A72" i="44" s="1"/>
  <c r="G66" i="44"/>
  <c r="I58" i="1"/>
  <c r="I56" i="1"/>
  <c r="E145" i="71"/>
  <c r="D19" i="31" s="1"/>
  <c r="A69" i="71"/>
  <c r="A77" i="71" s="1"/>
  <c r="F69" i="71"/>
  <c r="G162" i="71"/>
  <c r="G79" i="44"/>
  <c r="I129" i="1"/>
  <c r="A63" i="1"/>
  <c r="G25" i="12" l="1"/>
  <c r="A328" i="11"/>
  <c r="A331" i="11" s="1"/>
  <c r="A332" i="11" s="1"/>
  <c r="G26" i="12" s="1"/>
  <c r="H59" i="8"/>
  <c r="A61" i="8"/>
  <c r="A64" i="8" s="1"/>
  <c r="G72" i="44"/>
  <c r="A73" i="44"/>
  <c r="A74" i="44" s="1"/>
  <c r="E19" i="31"/>
  <c r="A78" i="71"/>
  <c r="A79" i="71" s="1"/>
  <c r="A80" i="71" s="1"/>
  <c r="A81" i="71" s="1"/>
  <c r="A82" i="71" s="1"/>
  <c r="A83" i="71" s="1"/>
  <c r="A84" i="71" s="1"/>
  <c r="A85" i="71" s="1"/>
  <c r="A86" i="71" s="1"/>
  <c r="A87" i="71" s="1"/>
  <c r="I88" i="71" s="1"/>
  <c r="A64" i="1"/>
  <c r="A333" i="11" l="1"/>
  <c r="A336" i="11" s="1"/>
  <c r="A337" i="11" s="1"/>
  <c r="A68" i="8"/>
  <c r="G68" i="8"/>
  <c r="G74" i="44"/>
  <c r="G81" i="44"/>
  <c r="A77" i="44"/>
  <c r="A78" i="44" s="1"/>
  <c r="A79" i="44" s="1"/>
  <c r="A80" i="44" s="1"/>
  <c r="A81" i="44" s="1"/>
  <c r="A82" i="44" s="1"/>
  <c r="A83" i="44" s="1"/>
  <c r="G27" i="12"/>
  <c r="A338" i="11"/>
  <c r="A339" i="11" s="1"/>
  <c r="A342" i="11" s="1"/>
  <c r="A343" i="11" s="1"/>
  <c r="A344" i="11" s="1"/>
  <c r="A345" i="11" s="1"/>
  <c r="A346" i="11" s="1"/>
  <c r="A349" i="11" s="1"/>
  <c r="A350" i="11" s="1"/>
  <c r="A351" i="11" s="1"/>
  <c r="A354" i="11" s="1"/>
  <c r="A355" i="11" s="1"/>
  <c r="A356" i="11" s="1"/>
  <c r="A359" i="11" s="1"/>
  <c r="A360" i="11" s="1"/>
  <c r="A361" i="11" s="1"/>
  <c r="A364" i="11" s="1"/>
  <c r="A365" i="11" s="1"/>
  <c r="A366" i="11" s="1"/>
  <c r="A369" i="11" s="1"/>
  <c r="A370" i="11" s="1"/>
  <c r="A371" i="11" s="1"/>
  <c r="A374" i="11" s="1"/>
  <c r="A375" i="11" s="1"/>
  <c r="A376" i="11" s="1"/>
  <c r="A379" i="11" s="1"/>
  <c r="A380" i="11" s="1"/>
  <c r="A381" i="11" s="1"/>
  <c r="A384" i="11" s="1"/>
  <c r="A385" i="11" s="1"/>
  <c r="A386" i="11" s="1"/>
  <c r="A389" i="11" s="1"/>
  <c r="A390" i="11" s="1"/>
  <c r="A391" i="11" s="1"/>
  <c r="A88" i="71"/>
  <c r="A94" i="71" s="1"/>
  <c r="B192" i="71"/>
  <c r="A65" i="1"/>
  <c r="A69" i="8" l="1"/>
  <c r="A70" i="8" s="1"/>
  <c r="G88" i="44"/>
  <c r="A87" i="44"/>
  <c r="A88" i="44" s="1"/>
  <c r="A89" i="44" s="1"/>
  <c r="A90" i="44" s="1"/>
  <c r="A91" i="44" s="1"/>
  <c r="A92" i="44" s="1"/>
  <c r="A93" i="44" s="1"/>
  <c r="I156" i="1" s="1"/>
  <c r="A95" i="71"/>
  <c r="A96" i="71" s="1"/>
  <c r="A97" i="71" s="1"/>
  <c r="A98" i="71" s="1"/>
  <c r="A99" i="71" s="1"/>
  <c r="A100" i="71" s="1"/>
  <c r="A101" i="71" s="1"/>
  <c r="A102" i="71" s="1"/>
  <c r="A103" i="71" s="1"/>
  <c r="A104" i="71" s="1"/>
  <c r="A105" i="71" s="1"/>
  <c r="A111" i="71" s="1"/>
  <c r="A68" i="1"/>
  <c r="I83" i="1"/>
  <c r="G70" i="8" l="1"/>
  <c r="A71" i="8"/>
  <c r="A72" i="8" s="1"/>
  <c r="B101" i="44"/>
  <c r="G93" i="44"/>
  <c r="G91" i="44"/>
  <c r="I105" i="71"/>
  <c r="A112" i="71"/>
  <c r="A113" i="71" s="1"/>
  <c r="F114" i="71" s="1"/>
  <c r="A69" i="1"/>
  <c r="A70" i="1" s="1"/>
  <c r="G72" i="8" l="1"/>
  <c r="A73" i="8"/>
  <c r="H14" i="65" s="1"/>
  <c r="G73" i="8"/>
  <c r="F113" i="71"/>
  <c r="A114" i="71"/>
  <c r="A115" i="71" s="1"/>
  <c r="A120" i="71" s="1"/>
  <c r="F138" i="71"/>
  <c r="A73" i="1"/>
  <c r="I75" i="1" s="1"/>
  <c r="I84" i="1"/>
  <c r="F115" i="71" l="1"/>
  <c r="A121" i="71"/>
  <c r="A122" i="71" s="1"/>
  <c r="A123" i="71" s="1"/>
  <c r="A124" i="71" s="1"/>
  <c r="A125" i="71" s="1"/>
  <c r="A126" i="71" s="1"/>
  <c r="A127" i="71" s="1"/>
  <c r="A128" i="71" s="1"/>
  <c r="A129" i="71" s="1"/>
  <c r="A130" i="71" s="1"/>
  <c r="A131" i="71" s="1"/>
  <c r="A137" i="71" s="1"/>
  <c r="A75" i="1"/>
  <c r="I80" i="1" s="1"/>
  <c r="A138" i="71" l="1"/>
  <c r="A139" i="71" s="1"/>
  <c r="F131" i="71"/>
  <c r="B193" i="71"/>
  <c r="A78" i="1"/>
  <c r="I78" i="1"/>
  <c r="I79" i="1"/>
  <c r="F139" i="71" l="1"/>
  <c r="A140" i="71"/>
  <c r="A141" i="71" s="1"/>
  <c r="A142" i="71" s="1"/>
  <c r="A143" i="71" s="1"/>
  <c r="A144" i="71" s="1"/>
  <c r="A145" i="71" s="1"/>
  <c r="B37" i="31" s="1"/>
  <c r="A79" i="1"/>
  <c r="I88" i="1"/>
  <c r="A151" i="71" l="1"/>
  <c r="A152" i="71" s="1"/>
  <c r="A153" i="71" s="1"/>
  <c r="A154" i="71" s="1"/>
  <c r="A155" i="71" s="1"/>
  <c r="A156" i="71" s="1"/>
  <c r="A157" i="71" s="1"/>
  <c r="A158" i="71" s="1"/>
  <c r="A159" i="71" s="1"/>
  <c r="A160" i="71" s="1"/>
  <c r="A161" i="71" s="1"/>
  <c r="A162" i="71" s="1"/>
  <c r="A169" i="71" s="1"/>
  <c r="A170" i="71" s="1"/>
  <c r="A171" i="71" s="1"/>
  <c r="A172" i="71" s="1"/>
  <c r="A173" i="71" s="1"/>
  <c r="A174" i="71" s="1"/>
  <c r="A175" i="71" s="1"/>
  <c r="A176" i="71" s="1"/>
  <c r="A177" i="71" s="1"/>
  <c r="A178" i="71" s="1"/>
  <c r="A179" i="71" s="1"/>
  <c r="A180" i="71" s="1"/>
  <c r="F142" i="71"/>
  <c r="F145" i="71"/>
  <c r="F144" i="71"/>
  <c r="F143" i="71"/>
  <c r="A80" i="1"/>
  <c r="F97" i="8" s="1"/>
  <c r="I89" i="1"/>
  <c r="G93" i="12" l="1"/>
  <c r="I15" i="12"/>
  <c r="A83" i="1"/>
  <c r="A84" i="1" s="1"/>
  <c r="A85" i="1" s="1"/>
  <c r="I81" i="1"/>
  <c r="G100" i="12" l="1"/>
  <c r="I90" i="1"/>
  <c r="A88" i="1"/>
  <c r="A89" i="1" s="1"/>
  <c r="F96" i="8" s="1"/>
  <c r="E21" i="7" l="1"/>
  <c r="F95" i="8"/>
  <c r="A90" i="1"/>
  <c r="I93" i="1" s="1"/>
  <c r="I91" i="1" l="1"/>
  <c r="A91" i="1"/>
  <c r="F25" i="71" l="1"/>
  <c r="A93" i="1"/>
  <c r="I95" i="1"/>
  <c r="F32" i="71" l="1"/>
  <c r="E22" i="7"/>
  <c r="I116" i="1"/>
  <c r="A95" i="1"/>
  <c r="A100" i="1" l="1"/>
  <c r="I131" i="1"/>
  <c r="A101" i="1" l="1"/>
  <c r="A102" i="1" s="1"/>
  <c r="F33" i="71" l="1"/>
  <c r="I16" i="12"/>
  <c r="H43" i="8"/>
  <c r="E23" i="7"/>
  <c r="G56" i="44"/>
  <c r="I117" i="1"/>
  <c r="I102" i="1"/>
  <c r="A105" i="1"/>
  <c r="A106" i="1" l="1"/>
  <c r="A107" i="1" s="1"/>
  <c r="A108" i="1" s="1"/>
  <c r="A110" i="1" s="1"/>
  <c r="A112" i="1" s="1"/>
  <c r="H45" i="8" s="1"/>
  <c r="I118" i="1" l="1"/>
  <c r="H44" i="8"/>
  <c r="I108" i="1"/>
  <c r="I132" i="1"/>
  <c r="A124" i="1"/>
  <c r="I110" i="1"/>
  <c r="A125" i="1" l="1"/>
  <c r="H49" i="8" s="1"/>
  <c r="H48" i="8"/>
  <c r="A126" i="1" l="1"/>
  <c r="H50" i="8" s="1"/>
  <c r="E72" i="7"/>
  <c r="I17" i="1"/>
  <c r="A127" i="1" l="1"/>
  <c r="H51" i="8" s="1"/>
  <c r="A128" i="1" l="1"/>
  <c r="H52" i="8" s="1"/>
  <c r="A129" i="1" l="1"/>
  <c r="H53" i="8" s="1"/>
  <c r="A130" i="1"/>
  <c r="H54" i="8" s="1"/>
  <c r="A131" i="1" l="1"/>
  <c r="A132" i="1" l="1"/>
  <c r="A133" i="1" s="1"/>
  <c r="A134" i="1" s="1"/>
  <c r="A135" i="1" s="1"/>
  <c r="A137" i="1" s="1"/>
  <c r="H58" i="8" l="1"/>
  <c r="I137" i="1"/>
  <c r="H57" i="8"/>
  <c r="A139" i="1"/>
  <c r="A140" i="1" s="1"/>
  <c r="G89" i="44" s="1"/>
  <c r="I142" i="1" l="1"/>
  <c r="A142" i="1"/>
  <c r="I147" i="1" s="1"/>
  <c r="I140" i="1"/>
  <c r="I139" i="1"/>
  <c r="E70" i="7"/>
  <c r="A147" i="1" l="1"/>
  <c r="A148" i="1" s="1"/>
  <c r="A149" i="1" s="1"/>
  <c r="A150" i="1" s="1"/>
  <c r="A152" i="1" s="1"/>
  <c r="A155" i="1" l="1"/>
  <c r="A156" i="1" s="1"/>
  <c r="A157" i="1" s="1"/>
  <c r="G4" i="31" s="1"/>
  <c r="I155" i="1"/>
  <c r="I152" i="1"/>
  <c r="I157" i="1" l="1"/>
  <c r="K53" i="1" l="1"/>
  <c r="F23" i="17"/>
  <c r="I92" i="46"/>
  <c r="I91" i="46"/>
  <c r="I74" i="46"/>
  <c r="K54" i="1" l="1"/>
  <c r="H74" i="46"/>
  <c r="G74" i="46" s="1"/>
  <c r="H91" i="46"/>
  <c r="G91" i="46" s="1"/>
  <c r="I106" i="46"/>
  <c r="H92" i="46"/>
  <c r="G92" i="46" s="1"/>
  <c r="C150" i="46" l="1"/>
  <c r="H105" i="46" s="1"/>
  <c r="G105" i="46" s="1"/>
  <c r="G106" i="46" l="1"/>
  <c r="H106" i="46" l="1"/>
  <c r="I118" i="46"/>
  <c r="I117" i="46"/>
  <c r="I116" i="46"/>
  <c r="I115" i="46"/>
  <c r="I121" i="46" l="1"/>
  <c r="I124" i="46" s="1"/>
  <c r="H118" i="46"/>
  <c r="G118" i="46" s="1"/>
  <c r="H115" i="46"/>
  <c r="H116" i="46"/>
  <c r="G116" i="46" s="1"/>
  <c r="H117" i="46"/>
  <c r="G117" i="46" s="1"/>
  <c r="G115" i="46" l="1"/>
  <c r="G121" i="46" s="1"/>
  <c r="H121" i="46"/>
  <c r="H124" i="46" s="1"/>
  <c r="G6" i="2" s="1"/>
  <c r="G10" i="2" s="1"/>
  <c r="G124" i="46" l="1"/>
  <c r="K124" i="1" s="1"/>
  <c r="F52" i="21"/>
  <c r="F53" i="21" l="1"/>
  <c r="J20" i="8" s="1"/>
  <c r="F59" i="21"/>
  <c r="F60" i="21" s="1"/>
  <c r="K23" i="1" s="1"/>
  <c r="F62" i="4"/>
  <c r="F63" i="4" s="1"/>
  <c r="K10" i="1" s="1"/>
  <c r="F57" i="4"/>
  <c r="F58" i="4" s="1"/>
  <c r="J7" i="8" s="1"/>
  <c r="H85" i="64"/>
  <c r="H86" i="64" s="1"/>
  <c r="F93" i="64" s="1"/>
  <c r="H73" i="44"/>
  <c r="G31" i="79"/>
  <c r="G32" i="79" s="1"/>
  <c r="I26" i="79"/>
  <c r="G38" i="79"/>
  <c r="G39" i="79" s="1"/>
  <c r="I38" i="79"/>
  <c r="I31" i="79"/>
  <c r="G26" i="79"/>
  <c r="G27" i="79" s="1"/>
  <c r="H129" i="15"/>
  <c r="H130" i="15" s="1"/>
  <c r="H69" i="15"/>
  <c r="H70" i="15" s="1"/>
  <c r="H89" i="15"/>
  <c r="H90" i="15" s="1"/>
  <c r="G20" i="2"/>
  <c r="F50" i="22"/>
  <c r="F51" i="22" s="1"/>
  <c r="J13" i="8" s="1"/>
  <c r="D28" i="54"/>
  <c r="D29" i="54" s="1"/>
  <c r="D38" i="54" s="1"/>
  <c r="F26" i="26"/>
  <c r="F27" i="26" s="1"/>
  <c r="F54" i="22"/>
  <c r="F55" i="22" s="1"/>
  <c r="K16" i="1" s="1"/>
  <c r="K55" i="1"/>
  <c r="F24" i="22"/>
  <c r="E28" i="54"/>
  <c r="E29" i="54" s="1"/>
  <c r="E38" i="54" s="1"/>
  <c r="K11" i="1" s="1"/>
  <c r="G18" i="2"/>
  <c r="J48" i="8"/>
  <c r="G23" i="2" l="1"/>
  <c r="K40" i="1" s="1"/>
  <c r="K24" i="1"/>
  <c r="K56" i="1"/>
  <c r="I39" i="79"/>
  <c r="K39" i="79" s="1"/>
  <c r="I32" i="79"/>
  <c r="I18" i="79" s="1"/>
  <c r="I27" i="79"/>
  <c r="K27" i="79" s="1"/>
  <c r="G19" i="79"/>
  <c r="G17" i="79"/>
  <c r="G18" i="79"/>
  <c r="H74" i="44"/>
  <c r="H81" i="44" s="1"/>
  <c r="F27" i="22"/>
  <c r="J12" i="8" s="1"/>
  <c r="F26" i="22"/>
  <c r="K15" i="1" s="1"/>
  <c r="D41" i="54"/>
  <c r="J8" i="8" s="1"/>
  <c r="K32" i="79" l="1"/>
  <c r="H83" i="44"/>
  <c r="H88" i="44" s="1"/>
  <c r="H92" i="44" s="1"/>
  <c r="I19" i="79"/>
  <c r="K19" i="79" s="1"/>
  <c r="K18" i="79"/>
  <c r="I17" i="79"/>
  <c r="G20" i="79"/>
  <c r="G89" i="15"/>
  <c r="G90" i="15" s="1"/>
  <c r="D90" i="15" s="1"/>
  <c r="D11" i="15" s="1"/>
  <c r="G129" i="15"/>
  <c r="G130" i="15" s="1"/>
  <c r="G69" i="15"/>
  <c r="F28" i="26"/>
  <c r="F29" i="26" s="1"/>
  <c r="F30" i="26" s="1"/>
  <c r="K125" i="1" s="1"/>
  <c r="K41" i="1" l="1"/>
  <c r="K17" i="1"/>
  <c r="I20" i="79"/>
  <c r="K9" i="79" s="1"/>
  <c r="K31" i="1" s="1"/>
  <c r="K17" i="79"/>
  <c r="K20" i="79" s="1"/>
  <c r="K10" i="79" s="1"/>
  <c r="J26" i="8" s="1"/>
  <c r="D130" i="15"/>
  <c r="D12" i="15" s="1"/>
  <c r="D72" i="7"/>
  <c r="J49" i="8"/>
  <c r="J14" i="8" l="1"/>
  <c r="J15" i="8" s="1"/>
  <c r="K58" i="1"/>
  <c r="G68" i="15"/>
  <c r="G70" i="15" s="1"/>
  <c r="D70" i="15" s="1"/>
  <c r="D10" i="15" s="1"/>
  <c r="E68" i="15"/>
  <c r="K18" i="1"/>
  <c r="K129" i="1" l="1"/>
  <c r="D14" i="15"/>
  <c r="E155" i="15" s="1"/>
  <c r="J53" i="8" l="1"/>
  <c r="C13" i="64"/>
  <c r="C49" i="64" s="1"/>
  <c r="D71" i="21" s="1"/>
  <c r="C209" i="4"/>
  <c r="D154" i="15" l="1"/>
  <c r="I154" i="15" s="1"/>
  <c r="D146" i="15"/>
  <c r="I146" i="15" s="1"/>
  <c r="K26" i="1"/>
  <c r="D145" i="15"/>
  <c r="I145" i="15" s="1"/>
  <c r="D143" i="15"/>
  <c r="I143" i="15" s="1"/>
  <c r="J143" i="15" s="1"/>
  <c r="D144" i="15"/>
  <c r="I144" i="15" s="1"/>
  <c r="D149" i="15"/>
  <c r="I149" i="15" s="1"/>
  <c r="D151" i="15"/>
  <c r="I151" i="15" s="1"/>
  <c r="D148" i="15"/>
  <c r="I148" i="15" s="1"/>
  <c r="D150" i="15"/>
  <c r="I150" i="15" s="1"/>
  <c r="D152" i="15"/>
  <c r="I152" i="15" s="1"/>
  <c r="D153" i="15"/>
  <c r="I153" i="15" s="1"/>
  <c r="D147" i="15"/>
  <c r="I147" i="15" s="1"/>
  <c r="C14" i="64"/>
  <c r="C50" i="64" s="1"/>
  <c r="D72" i="21" s="1"/>
  <c r="E143" i="15" l="1"/>
  <c r="E144" i="15" s="1"/>
  <c r="E145" i="15" s="1"/>
  <c r="E146" i="15" s="1"/>
  <c r="E147" i="15" s="1"/>
  <c r="E148" i="15" s="1"/>
  <c r="E149" i="15" s="1"/>
  <c r="E150" i="15" s="1"/>
  <c r="E151" i="15" s="1"/>
  <c r="E152" i="15" s="1"/>
  <c r="E153" i="15" s="1"/>
  <c r="E154" i="15" s="1"/>
  <c r="J144" i="15"/>
  <c r="J145" i="15" s="1"/>
  <c r="J146" i="15" s="1"/>
  <c r="J147" i="15" s="1"/>
  <c r="J148" i="15" s="1"/>
  <c r="J149" i="15" s="1"/>
  <c r="J150" i="15" s="1"/>
  <c r="J151" i="15" s="1"/>
  <c r="J152" i="15" s="1"/>
  <c r="J153" i="15" s="1"/>
  <c r="J154" i="15" s="1"/>
  <c r="D24" i="15" s="1"/>
  <c r="C15" i="64"/>
  <c r="C51" i="64" s="1"/>
  <c r="D73" i="21" s="1"/>
  <c r="J23" i="8" l="1"/>
  <c r="C16" i="64"/>
  <c r="C52" i="64" s="1"/>
  <c r="D74" i="21" s="1"/>
  <c r="C17" i="64" l="1"/>
  <c r="C53" i="64" s="1"/>
  <c r="D75" i="21" s="1"/>
  <c r="C18" i="64" l="1"/>
  <c r="C54" i="64" s="1"/>
  <c r="D76" i="21" s="1"/>
  <c r="C19" i="64" l="1"/>
  <c r="C55" i="64" s="1"/>
  <c r="D77" i="21" s="1"/>
  <c r="C20" i="64" l="1"/>
  <c r="C56" i="64" s="1"/>
  <c r="D78" i="21" s="1"/>
  <c r="C21" i="64" l="1"/>
  <c r="C57" i="64" s="1"/>
  <c r="D79" i="21" s="1"/>
  <c r="C22" i="64" l="1"/>
  <c r="C58" i="64" s="1"/>
  <c r="D80" i="21" s="1"/>
  <c r="C23" i="64" l="1"/>
  <c r="C59" i="64" s="1"/>
  <c r="D81" i="21" s="1"/>
  <c r="C24" i="4"/>
  <c r="D82" i="21" l="1"/>
  <c r="C60" i="64"/>
  <c r="D109" i="21" l="1"/>
  <c r="D209" i="4"/>
  <c r="D13" i="64"/>
  <c r="D49" i="64" s="1"/>
  <c r="E71" i="21" s="1"/>
  <c r="D112" i="21" l="1"/>
  <c r="D14" i="64"/>
  <c r="D50" i="64" s="1"/>
  <c r="E72" i="21" s="1"/>
  <c r="D129" i="21" l="1"/>
  <c r="D121" i="21"/>
  <c r="D123" i="21"/>
  <c r="D122" i="21"/>
  <c r="D124" i="21"/>
  <c r="D127" i="21"/>
  <c r="D119" i="21"/>
  <c r="D126" i="21"/>
  <c r="D128" i="21"/>
  <c r="D130" i="21"/>
  <c r="D125" i="21"/>
  <c r="D120" i="21"/>
  <c r="D15" i="64"/>
  <c r="D51" i="64" s="1"/>
  <c r="E73" i="21" s="1"/>
  <c r="D131" i="21" l="1"/>
  <c r="D13" i="21"/>
  <c r="D16" i="64"/>
  <c r="D52" i="64" s="1"/>
  <c r="E74" i="21" s="1"/>
  <c r="D14" i="21" l="1"/>
  <c r="D17" i="64"/>
  <c r="D53" i="64" s="1"/>
  <c r="E75" i="21" s="1"/>
  <c r="D15" i="21" l="1"/>
  <c r="D16" i="21" s="1"/>
  <c r="D18" i="64"/>
  <c r="D54" i="64" s="1"/>
  <c r="E76" i="21" s="1"/>
  <c r="D19" i="64" l="1"/>
  <c r="D55" i="64" s="1"/>
  <c r="E77" i="21" s="1"/>
  <c r="D17" i="21" l="1"/>
  <c r="D20" i="64"/>
  <c r="D56" i="64" s="1"/>
  <c r="E78" i="21" s="1"/>
  <c r="D18" i="21" l="1"/>
  <c r="D21" i="64"/>
  <c r="D57" i="64" s="1"/>
  <c r="E79" i="21" s="1"/>
  <c r="D19" i="21" l="1"/>
  <c r="D22" i="64"/>
  <c r="D58" i="64" s="1"/>
  <c r="E80" i="21" s="1"/>
  <c r="D20" i="21" l="1"/>
  <c r="D23" i="64"/>
  <c r="D59" i="64" s="1"/>
  <c r="E81" i="21" s="1"/>
  <c r="D24" i="4"/>
  <c r="D21" i="21" l="1"/>
  <c r="E82" i="21"/>
  <c r="D60" i="64"/>
  <c r="D22" i="21" l="1"/>
  <c r="E109" i="21"/>
  <c r="I24" i="64"/>
  <c r="C125" i="48" s="1"/>
  <c r="E125" i="48" s="1"/>
  <c r="F24" i="64"/>
  <c r="C122" i="48" s="1"/>
  <c r="E122" i="48" s="1"/>
  <c r="G24" i="64"/>
  <c r="C123" i="48" s="1"/>
  <c r="E123" i="48" s="1"/>
  <c r="L182" i="4"/>
  <c r="L190" i="4" s="1"/>
  <c r="L24" i="64"/>
  <c r="C128" i="48" s="1"/>
  <c r="E128" i="48" s="1"/>
  <c r="F182" i="4"/>
  <c r="F190" i="4" s="1"/>
  <c r="G182" i="4"/>
  <c r="G190" i="4" s="1"/>
  <c r="G197" i="4" s="1"/>
  <c r="G12" i="4" s="1"/>
  <c r="K182" i="4"/>
  <c r="K190" i="4" s="1"/>
  <c r="K202" i="4" s="1"/>
  <c r="K24" i="64"/>
  <c r="C127" i="48" s="1"/>
  <c r="E127" i="48" s="1"/>
  <c r="J24" i="64"/>
  <c r="C126" i="48" s="1"/>
  <c r="E126" i="48" s="1"/>
  <c r="J182" i="4"/>
  <c r="J190" i="4" s="1"/>
  <c r="J208" i="4" s="1"/>
  <c r="M23" i="4"/>
  <c r="M24" i="64" s="1"/>
  <c r="H182" i="4"/>
  <c r="H190" i="4" s="1"/>
  <c r="H24" i="64"/>
  <c r="C124" i="48" s="1"/>
  <c r="E124" i="48" s="1"/>
  <c r="E182" i="4"/>
  <c r="E190" i="4" s="1"/>
  <c r="E24" i="64"/>
  <c r="C121" i="48" s="1"/>
  <c r="E121" i="48" s="1"/>
  <c r="I182" i="4"/>
  <c r="I190" i="4" s="1"/>
  <c r="K208" i="4" l="1"/>
  <c r="E200" i="4"/>
  <c r="E206" i="4"/>
  <c r="E199" i="4"/>
  <c r="D36" i="7"/>
  <c r="D40" i="7" s="1"/>
  <c r="D23" i="21"/>
  <c r="E112" i="21"/>
  <c r="E131" i="48"/>
  <c r="E130" i="48"/>
  <c r="J205" i="4"/>
  <c r="J203" i="4"/>
  <c r="J201" i="4"/>
  <c r="J206" i="4"/>
  <c r="J198" i="4"/>
  <c r="J200" i="4"/>
  <c r="J199" i="4"/>
  <c r="J204" i="4"/>
  <c r="J197" i="4"/>
  <c r="J12" i="4" s="1"/>
  <c r="J207" i="4"/>
  <c r="J202" i="4"/>
  <c r="G199" i="4"/>
  <c r="G201" i="4"/>
  <c r="G206" i="4"/>
  <c r="G203" i="4"/>
  <c r="G198" i="4"/>
  <c r="G204" i="4"/>
  <c r="G207" i="4"/>
  <c r="G202" i="4"/>
  <c r="G205" i="4"/>
  <c r="G208" i="4"/>
  <c r="G200" i="4"/>
  <c r="L200" i="4"/>
  <c r="L198" i="4"/>
  <c r="L207" i="4"/>
  <c r="L204" i="4"/>
  <c r="L202" i="4"/>
  <c r="L199" i="4"/>
  <c r="L201" i="4"/>
  <c r="L206" i="4"/>
  <c r="L208" i="4"/>
  <c r="L203" i="4"/>
  <c r="L197" i="4"/>
  <c r="L12" i="4" s="1"/>
  <c r="L205" i="4"/>
  <c r="I200" i="4"/>
  <c r="I204" i="4"/>
  <c r="I203" i="4"/>
  <c r="I205" i="4"/>
  <c r="I198" i="4"/>
  <c r="I201" i="4"/>
  <c r="I197" i="4"/>
  <c r="I12" i="4" s="1"/>
  <c r="I199" i="4"/>
  <c r="I208" i="4"/>
  <c r="I206" i="4"/>
  <c r="I207" i="4"/>
  <c r="I202" i="4"/>
  <c r="H201" i="4"/>
  <c r="H206" i="4"/>
  <c r="H198" i="4"/>
  <c r="H204" i="4"/>
  <c r="H199" i="4"/>
  <c r="H205" i="4"/>
  <c r="H208" i="4"/>
  <c r="H197" i="4"/>
  <c r="H12" i="4" s="1"/>
  <c r="H207" i="4"/>
  <c r="H203" i="4"/>
  <c r="H202" i="4"/>
  <c r="H200" i="4"/>
  <c r="F206" i="4"/>
  <c r="F202" i="4"/>
  <c r="F203" i="4"/>
  <c r="F205" i="4"/>
  <c r="F198" i="4"/>
  <c r="F200" i="4"/>
  <c r="F207" i="4"/>
  <c r="F204" i="4"/>
  <c r="F199" i="4"/>
  <c r="F201" i="4"/>
  <c r="F197" i="4"/>
  <c r="F12" i="4" s="1"/>
  <c r="F208" i="4"/>
  <c r="K203" i="4"/>
  <c r="K205" i="4"/>
  <c r="K199" i="4"/>
  <c r="K207" i="4"/>
  <c r="K204" i="4"/>
  <c r="K198" i="4"/>
  <c r="K206" i="4"/>
  <c r="K201" i="4"/>
  <c r="K200" i="4"/>
  <c r="K197" i="4"/>
  <c r="K12" i="4" s="1"/>
  <c r="E208" i="4"/>
  <c r="D43" i="4"/>
  <c r="K9" i="1" s="1"/>
  <c r="K34" i="1" s="1"/>
  <c r="E203" i="4"/>
  <c r="E204" i="4"/>
  <c r="E205" i="4"/>
  <c r="E201" i="4"/>
  <c r="M182" i="4"/>
  <c r="M190" i="4" s="1"/>
  <c r="E197" i="4"/>
  <c r="E12" i="4" s="1"/>
  <c r="E202" i="4"/>
  <c r="E198" i="4"/>
  <c r="E207" i="4"/>
  <c r="H13" i="4" l="1"/>
  <c r="H14" i="4" s="1"/>
  <c r="H15" i="4" s="1"/>
  <c r="H16" i="4" s="1"/>
  <c r="H17" i="4" s="1"/>
  <c r="H18" i="4" s="1"/>
  <c r="H19" i="4" s="1"/>
  <c r="H20" i="4" s="1"/>
  <c r="H21" i="4" s="1"/>
  <c r="H22" i="4" s="1"/>
  <c r="E133" i="48"/>
  <c r="J13" i="4"/>
  <c r="J14" i="4" s="1"/>
  <c r="J15" i="4" s="1"/>
  <c r="J16" i="4" s="1"/>
  <c r="J17" i="4" s="1"/>
  <c r="J18" i="4" s="1"/>
  <c r="J19" i="4" s="1"/>
  <c r="J20" i="4" s="1"/>
  <c r="J21" i="4" s="1"/>
  <c r="J22" i="4" s="1"/>
  <c r="K13" i="4"/>
  <c r="K14" i="4" s="1"/>
  <c r="K15" i="4" s="1"/>
  <c r="K16" i="4" s="1"/>
  <c r="K17" i="4" s="1"/>
  <c r="K18" i="4" s="1"/>
  <c r="K19" i="4" s="1"/>
  <c r="K20" i="4" s="1"/>
  <c r="K21" i="4" s="1"/>
  <c r="K22" i="4" s="1"/>
  <c r="M200" i="4"/>
  <c r="L13" i="4"/>
  <c r="L14" i="4" s="1"/>
  <c r="L15" i="4" s="1"/>
  <c r="L16" i="4" s="1"/>
  <c r="L17" i="4" s="1"/>
  <c r="L18" i="4" s="1"/>
  <c r="L19" i="4" s="1"/>
  <c r="L20" i="4" s="1"/>
  <c r="L21" i="4" s="1"/>
  <c r="L22" i="4" s="1"/>
  <c r="G13" i="4"/>
  <c r="G14" i="4" s="1"/>
  <c r="G15" i="4" s="1"/>
  <c r="G16" i="4" s="1"/>
  <c r="G17" i="4" s="1"/>
  <c r="G18" i="4" s="1"/>
  <c r="G19" i="4" s="1"/>
  <c r="G20" i="4" s="1"/>
  <c r="G21" i="4" s="1"/>
  <c r="G22" i="4" s="1"/>
  <c r="F13" i="4"/>
  <c r="F14" i="4" s="1"/>
  <c r="F15" i="4" s="1"/>
  <c r="F16" i="4" s="1"/>
  <c r="F17" i="4" s="1"/>
  <c r="F18" i="4" s="1"/>
  <c r="F19" i="4" s="1"/>
  <c r="F20" i="4" s="1"/>
  <c r="F21" i="4" s="1"/>
  <c r="F22" i="4" s="1"/>
  <c r="I13" i="4"/>
  <c r="I14" i="4" s="1"/>
  <c r="I15" i="4" s="1"/>
  <c r="I16" i="4" s="1"/>
  <c r="I17" i="4" s="1"/>
  <c r="I18" i="4" s="1"/>
  <c r="I19" i="4" s="1"/>
  <c r="I20" i="4" s="1"/>
  <c r="I21" i="4" s="1"/>
  <c r="I22" i="4" s="1"/>
  <c r="E13" i="4"/>
  <c r="E14" i="4" s="1"/>
  <c r="E15" i="4" s="1"/>
  <c r="E16" i="4" s="1"/>
  <c r="E17" i="4" s="1"/>
  <c r="E18" i="4" s="1"/>
  <c r="E19" i="4" s="1"/>
  <c r="E20" i="4" s="1"/>
  <c r="E21" i="4" s="1"/>
  <c r="E22" i="4" s="1"/>
  <c r="E119" i="21"/>
  <c r="E129" i="21"/>
  <c r="E120" i="21"/>
  <c r="E127" i="21"/>
  <c r="E121" i="21"/>
  <c r="E130" i="21"/>
  <c r="E124" i="21"/>
  <c r="E125" i="21"/>
  <c r="E126" i="21"/>
  <c r="E123" i="21"/>
  <c r="E122" i="21"/>
  <c r="E128" i="21"/>
  <c r="D25" i="21"/>
  <c r="M198" i="4"/>
  <c r="M201" i="4"/>
  <c r="M202" i="4"/>
  <c r="M205" i="4"/>
  <c r="M208" i="4"/>
  <c r="G13" i="64"/>
  <c r="G49" i="64" s="1"/>
  <c r="H71" i="21" s="1"/>
  <c r="K209" i="4"/>
  <c r="H209" i="4"/>
  <c r="G209" i="4"/>
  <c r="K110" i="1"/>
  <c r="K95" i="1"/>
  <c r="E209" i="4"/>
  <c r="M197" i="4"/>
  <c r="M204" i="4"/>
  <c r="M206" i="4"/>
  <c r="M207" i="4"/>
  <c r="M203" i="4"/>
  <c r="F209" i="4"/>
  <c r="I209" i="4"/>
  <c r="M199" i="4"/>
  <c r="L209" i="4"/>
  <c r="J209" i="4"/>
  <c r="L47" i="48" l="1"/>
  <c r="L49" i="48"/>
  <c r="L48" i="48"/>
  <c r="L50" i="48"/>
  <c r="L78" i="48"/>
  <c r="L51" i="48"/>
  <c r="L79" i="48"/>
  <c r="L16" i="48" s="1"/>
  <c r="L52" i="48"/>
  <c r="L80" i="48"/>
  <c r="L17" i="48" s="1"/>
  <c r="L53" i="48"/>
  <c r="L81" i="48"/>
  <c r="L54" i="48"/>
  <c r="L82" i="48"/>
  <c r="L55" i="48"/>
  <c r="L83" i="48"/>
  <c r="L56" i="48"/>
  <c r="L84" i="48"/>
  <c r="L21" i="48" s="1"/>
  <c r="L57" i="48"/>
  <c r="L85" i="48"/>
  <c r="L58" i="48"/>
  <c r="L86" i="48"/>
  <c r="L59" i="48"/>
  <c r="L87" i="48"/>
  <c r="L60" i="48"/>
  <c r="L88" i="48"/>
  <c r="L25" i="48" s="1"/>
  <c r="L61" i="48"/>
  <c r="L89" i="48"/>
  <c r="L90" i="48"/>
  <c r="L62" i="48"/>
  <c r="L63" i="48"/>
  <c r="L91" i="48"/>
  <c r="L64" i="48"/>
  <c r="L92" i="48"/>
  <c r="L29" i="48" s="1"/>
  <c r="L65" i="48"/>
  <c r="L93" i="48"/>
  <c r="L66" i="48"/>
  <c r="L94" i="48"/>
  <c r="L95" i="48"/>
  <c r="L67" i="48"/>
  <c r="L96" i="48"/>
  <c r="L33" i="48" s="1"/>
  <c r="L68" i="48"/>
  <c r="L97" i="48"/>
  <c r="L98" i="48"/>
  <c r="L99" i="48"/>
  <c r="L36" i="48" s="1"/>
  <c r="L46" i="48"/>
  <c r="L77" i="48"/>
  <c r="M77" i="48" s="1"/>
  <c r="G16" i="64"/>
  <c r="G52" i="64" s="1"/>
  <c r="H74" i="21" s="1"/>
  <c r="G17" i="64"/>
  <c r="G53" i="64" s="1"/>
  <c r="H75" i="21" s="1"/>
  <c r="H14" i="64"/>
  <c r="H50" i="64" s="1"/>
  <c r="I72" i="21" s="1"/>
  <c r="G15" i="64"/>
  <c r="G51" i="64" s="1"/>
  <c r="H73" i="21" s="1"/>
  <c r="L14" i="64"/>
  <c r="L50" i="64" s="1"/>
  <c r="M72" i="21" s="1"/>
  <c r="G14" i="64"/>
  <c r="G50" i="64" s="1"/>
  <c r="H72" i="21" s="1"/>
  <c r="K131" i="1"/>
  <c r="K132" i="1"/>
  <c r="E131" i="21"/>
  <c r="E13" i="21"/>
  <c r="J14" i="64"/>
  <c r="J50" i="64" s="1"/>
  <c r="K72" i="21" s="1"/>
  <c r="E14" i="64"/>
  <c r="E50" i="64" s="1"/>
  <c r="F72" i="21" s="1"/>
  <c r="I14" i="64"/>
  <c r="I50" i="64" s="1"/>
  <c r="J72" i="21" s="1"/>
  <c r="F13" i="64"/>
  <c r="F49" i="64" s="1"/>
  <c r="G71" i="21" s="1"/>
  <c r="K13" i="64"/>
  <c r="K49" i="64" s="1"/>
  <c r="L71" i="21" s="1"/>
  <c r="L13" i="64"/>
  <c r="L49" i="64" s="1"/>
  <c r="M71" i="21" s="1"/>
  <c r="M13" i="4"/>
  <c r="M14" i="64" s="1"/>
  <c r="I13" i="64"/>
  <c r="I49" i="64" s="1"/>
  <c r="J71" i="21" s="1"/>
  <c r="M209" i="4"/>
  <c r="J13" i="64"/>
  <c r="J49" i="64" s="1"/>
  <c r="K71" i="21" s="1"/>
  <c r="M12" i="4"/>
  <c r="E13" i="64"/>
  <c r="E49" i="64" s="1"/>
  <c r="F71" i="21" s="1"/>
  <c r="H13" i="64"/>
  <c r="H49" i="64" s="1"/>
  <c r="I71" i="21" s="1"/>
  <c r="M46" i="48" l="1"/>
  <c r="L14" i="48"/>
  <c r="L19" i="48"/>
  <c r="N77" i="48"/>
  <c r="M78" i="48"/>
  <c r="L27" i="48"/>
  <c r="L28" i="48"/>
  <c r="L35" i="48"/>
  <c r="L30" i="48"/>
  <c r="L26" i="48"/>
  <c r="L22" i="48"/>
  <c r="L18" i="48"/>
  <c r="L24" i="48"/>
  <c r="L23" i="48"/>
  <c r="L34" i="48"/>
  <c r="L20" i="48"/>
  <c r="L32" i="48"/>
  <c r="L31" i="48"/>
  <c r="L15" i="48"/>
  <c r="N71" i="21"/>
  <c r="E14" i="21"/>
  <c r="L15" i="64"/>
  <c r="L51" i="64" s="1"/>
  <c r="M73" i="21" s="1"/>
  <c r="H15" i="64"/>
  <c r="H51" i="64" s="1"/>
  <c r="I73" i="21" s="1"/>
  <c r="G18" i="64"/>
  <c r="G54" i="64" s="1"/>
  <c r="H76" i="21" s="1"/>
  <c r="K14" i="64"/>
  <c r="K50" i="64" s="1"/>
  <c r="L72" i="21" s="1"/>
  <c r="M49" i="64"/>
  <c r="I15" i="64"/>
  <c r="I51" i="64" s="1"/>
  <c r="J73" i="21" s="1"/>
  <c r="J15" i="64"/>
  <c r="J51" i="64" s="1"/>
  <c r="K73" i="21" s="1"/>
  <c r="F14" i="64"/>
  <c r="F50" i="64" s="1"/>
  <c r="G72" i="21" s="1"/>
  <c r="M13" i="64"/>
  <c r="E15" i="64"/>
  <c r="E51" i="64" s="1"/>
  <c r="F73" i="21" s="1"/>
  <c r="M14" i="4"/>
  <c r="M15" i="64" s="1"/>
  <c r="N78" i="48" l="1"/>
  <c r="M79" i="48"/>
  <c r="M47" i="48"/>
  <c r="M14" i="48"/>
  <c r="N46" i="48"/>
  <c r="N14" i="48" s="1"/>
  <c r="M15" i="48"/>
  <c r="N72" i="21"/>
  <c r="E15" i="21"/>
  <c r="H16" i="64"/>
  <c r="H52" i="64" s="1"/>
  <c r="I74" i="21" s="1"/>
  <c r="M50" i="64"/>
  <c r="K15" i="64"/>
  <c r="K51" i="64" s="1"/>
  <c r="L73" i="21" s="1"/>
  <c r="G19" i="64"/>
  <c r="G55" i="64" s="1"/>
  <c r="H77" i="21" s="1"/>
  <c r="L16" i="64"/>
  <c r="L52" i="64" s="1"/>
  <c r="M74" i="21" s="1"/>
  <c r="E16" i="64"/>
  <c r="E52" i="64" s="1"/>
  <c r="F74" i="21" s="1"/>
  <c r="M15" i="4"/>
  <c r="M16" i="64" s="1"/>
  <c r="F15" i="64"/>
  <c r="F51" i="64" s="1"/>
  <c r="G73" i="21" s="1"/>
  <c r="J16" i="64"/>
  <c r="J52" i="64" s="1"/>
  <c r="K74" i="21" s="1"/>
  <c r="I16" i="64"/>
  <c r="I52" i="64" s="1"/>
  <c r="J74" i="21" s="1"/>
  <c r="M48" i="48" l="1"/>
  <c r="N47" i="48"/>
  <c r="N15" i="48" s="1"/>
  <c r="N79" i="48"/>
  <c r="M80" i="48"/>
  <c r="M16" i="48"/>
  <c r="N73" i="21"/>
  <c r="E16" i="21"/>
  <c r="F16" i="64"/>
  <c r="F52" i="64" s="1"/>
  <c r="G74" i="21" s="1"/>
  <c r="M51" i="64"/>
  <c r="G20" i="64"/>
  <c r="G56" i="64" s="1"/>
  <c r="H78" i="21" s="1"/>
  <c r="L17" i="64"/>
  <c r="L53" i="64" s="1"/>
  <c r="M75" i="21" s="1"/>
  <c r="K16" i="64"/>
  <c r="K52" i="64" s="1"/>
  <c r="L74" i="21" s="1"/>
  <c r="I17" i="64"/>
  <c r="I53" i="64" s="1"/>
  <c r="J75" i="21" s="1"/>
  <c r="J17" i="64"/>
  <c r="J53" i="64" s="1"/>
  <c r="K75" i="21" s="1"/>
  <c r="M16" i="4"/>
  <c r="M17" i="64" s="1"/>
  <c r="E17" i="64"/>
  <c r="E53" i="64" s="1"/>
  <c r="F75" i="21" s="1"/>
  <c r="H17" i="64"/>
  <c r="H53" i="64" s="1"/>
  <c r="I75" i="21" s="1"/>
  <c r="M81" i="48" l="1"/>
  <c r="N80" i="48"/>
  <c r="M49" i="48"/>
  <c r="N48" i="48"/>
  <c r="N16" i="48" s="1"/>
  <c r="M17" i="48"/>
  <c r="N74" i="21"/>
  <c r="E17" i="21"/>
  <c r="E18" i="64"/>
  <c r="E54" i="64" s="1"/>
  <c r="F76" i="21" s="1"/>
  <c r="G21" i="64"/>
  <c r="G57" i="64" s="1"/>
  <c r="H79" i="21" s="1"/>
  <c r="I18" i="64"/>
  <c r="I54" i="64" s="1"/>
  <c r="J76" i="21" s="1"/>
  <c r="L18" i="64"/>
  <c r="L54" i="64" s="1"/>
  <c r="M76" i="21" s="1"/>
  <c r="F17" i="64"/>
  <c r="F53" i="64" s="1"/>
  <c r="G75" i="21" s="1"/>
  <c r="M17" i="4"/>
  <c r="J18" i="64"/>
  <c r="J54" i="64" s="1"/>
  <c r="K76" i="21" s="1"/>
  <c r="K17" i="64"/>
  <c r="K53" i="64" s="1"/>
  <c r="L75" i="21" s="1"/>
  <c r="H18" i="64"/>
  <c r="H54" i="64" s="1"/>
  <c r="I76" i="21" s="1"/>
  <c r="M52" i="64"/>
  <c r="M50" i="48" l="1"/>
  <c r="N49" i="48"/>
  <c r="N17" i="48" s="1"/>
  <c r="N81" i="48"/>
  <c r="M82" i="48"/>
  <c r="M18" i="48"/>
  <c r="N75" i="21"/>
  <c r="E18" i="21"/>
  <c r="M53" i="64"/>
  <c r="M18" i="64"/>
  <c r="H19" i="64"/>
  <c r="H55" i="64" s="1"/>
  <c r="I77" i="21" s="1"/>
  <c r="I19" i="64"/>
  <c r="I55" i="64" s="1"/>
  <c r="J77" i="21" s="1"/>
  <c r="K18" i="64"/>
  <c r="K54" i="64" s="1"/>
  <c r="L76" i="21" s="1"/>
  <c r="J19" i="64"/>
  <c r="J55" i="64" s="1"/>
  <c r="K77" i="21" s="1"/>
  <c r="L19" i="64"/>
  <c r="L55" i="64" s="1"/>
  <c r="M77" i="21" s="1"/>
  <c r="F18" i="64"/>
  <c r="F54" i="64" s="1"/>
  <c r="G22" i="64"/>
  <c r="G58" i="64" s="1"/>
  <c r="H80" i="21" s="1"/>
  <c r="M18" i="4"/>
  <c r="M19" i="64" s="1"/>
  <c r="E19" i="64"/>
  <c r="E55" i="64" s="1"/>
  <c r="F77" i="21" s="1"/>
  <c r="N82" i="48" l="1"/>
  <c r="M83" i="48"/>
  <c r="M51" i="48"/>
  <c r="N50" i="48"/>
  <c r="N18" i="48" s="1"/>
  <c r="M19" i="48"/>
  <c r="M54" i="64"/>
  <c r="G76" i="21"/>
  <c r="N76" i="21" s="1"/>
  <c r="E19" i="21"/>
  <c r="L20" i="64"/>
  <c r="L56" i="64" s="1"/>
  <c r="M78" i="21" s="1"/>
  <c r="G23" i="64"/>
  <c r="G59" i="64" s="1"/>
  <c r="H81" i="21" s="1"/>
  <c r="H82" i="21" s="1"/>
  <c r="H109" i="21" s="1"/>
  <c r="H112" i="21" s="1"/>
  <c r="G24" i="4"/>
  <c r="F19" i="64"/>
  <c r="F55" i="64" s="1"/>
  <c r="G77" i="21" s="1"/>
  <c r="M19" i="4"/>
  <c r="M20" i="64" s="1"/>
  <c r="E20" i="64"/>
  <c r="E56" i="64" s="1"/>
  <c r="F78" i="21" s="1"/>
  <c r="J20" i="64"/>
  <c r="J56" i="64" s="1"/>
  <c r="K78" i="21" s="1"/>
  <c r="H20" i="64"/>
  <c r="H56" i="64" s="1"/>
  <c r="I78" i="21" s="1"/>
  <c r="K19" i="64"/>
  <c r="K55" i="64" s="1"/>
  <c r="L77" i="21" s="1"/>
  <c r="I20" i="64"/>
  <c r="I56" i="64" s="1"/>
  <c r="J78" i="21" s="1"/>
  <c r="M52" i="48" l="1"/>
  <c r="N51" i="48"/>
  <c r="N19" i="48" s="1"/>
  <c r="N83" i="48"/>
  <c r="M84" i="48"/>
  <c r="M20" i="48"/>
  <c r="G60" i="64"/>
  <c r="N77" i="21"/>
  <c r="H129" i="21"/>
  <c r="H125" i="21"/>
  <c r="H121" i="21"/>
  <c r="H119" i="21"/>
  <c r="H130" i="21"/>
  <c r="H128" i="21"/>
  <c r="H124" i="21"/>
  <c r="H120" i="21"/>
  <c r="H127" i="21"/>
  <c r="H123" i="21"/>
  <c r="H126" i="21"/>
  <c r="H122" i="21"/>
  <c r="M55" i="64"/>
  <c r="E20" i="21"/>
  <c r="I21" i="64"/>
  <c r="I57" i="64" s="1"/>
  <c r="J79" i="21" s="1"/>
  <c r="K20" i="64"/>
  <c r="K56" i="64" s="1"/>
  <c r="L78" i="21" s="1"/>
  <c r="H21" i="64"/>
  <c r="H57" i="64" s="1"/>
  <c r="I79" i="21" s="1"/>
  <c r="F20" i="64"/>
  <c r="F56" i="64" s="1"/>
  <c r="G78" i="21" s="1"/>
  <c r="J21" i="64"/>
  <c r="J57" i="64" s="1"/>
  <c r="K79" i="21" s="1"/>
  <c r="M20" i="4"/>
  <c r="M21" i="64" s="1"/>
  <c r="E21" i="64"/>
  <c r="E57" i="64" s="1"/>
  <c r="F79" i="21" s="1"/>
  <c r="L21" i="64"/>
  <c r="L57" i="64" s="1"/>
  <c r="M79" i="21" s="1"/>
  <c r="M85" i="48" l="1"/>
  <c r="N84" i="48"/>
  <c r="M53" i="48"/>
  <c r="N52" i="48"/>
  <c r="N20" i="48" s="1"/>
  <c r="M21" i="48"/>
  <c r="N78" i="21"/>
  <c r="H131" i="21"/>
  <c r="H13" i="21"/>
  <c r="E21" i="21"/>
  <c r="E22" i="64"/>
  <c r="E58" i="64" s="1"/>
  <c r="F80" i="21" s="1"/>
  <c r="E24" i="4"/>
  <c r="K21" i="64"/>
  <c r="K57" i="64" s="1"/>
  <c r="L79" i="21" s="1"/>
  <c r="M56" i="64"/>
  <c r="H22" i="64"/>
  <c r="H58" i="64" s="1"/>
  <c r="I80" i="21" s="1"/>
  <c r="L22" i="64"/>
  <c r="L58" i="64" s="1"/>
  <c r="M80" i="21" s="1"/>
  <c r="J22" i="64"/>
  <c r="J58" i="64" s="1"/>
  <c r="K80" i="21" s="1"/>
  <c r="F21" i="64"/>
  <c r="F57" i="64" s="1"/>
  <c r="G79" i="21" s="1"/>
  <c r="I22" i="64"/>
  <c r="I58" i="64" s="1"/>
  <c r="J80" i="21" s="1"/>
  <c r="M54" i="48" l="1"/>
  <c r="N53" i="48"/>
  <c r="N21" i="48" s="1"/>
  <c r="N85" i="48"/>
  <c r="M86" i="48"/>
  <c r="M22" i="48"/>
  <c r="N79" i="21"/>
  <c r="E22" i="21"/>
  <c r="H14" i="21"/>
  <c r="H15" i="21" s="1"/>
  <c r="H16" i="21" s="1"/>
  <c r="H17" i="21" s="1"/>
  <c r="H18" i="21" s="1"/>
  <c r="H19" i="21" s="1"/>
  <c r="H20" i="21" s="1"/>
  <c r="H21" i="21" s="1"/>
  <c r="H22" i="21" s="1"/>
  <c r="H23" i="21" s="1"/>
  <c r="F22" i="64"/>
  <c r="F58" i="64" s="1"/>
  <c r="G80" i="21" s="1"/>
  <c r="H23" i="64"/>
  <c r="H59" i="64" s="1"/>
  <c r="I81" i="21" s="1"/>
  <c r="I82" i="21" s="1"/>
  <c r="I109" i="21" s="1"/>
  <c r="I112" i="21" s="1"/>
  <c r="H24" i="4"/>
  <c r="E23" i="64"/>
  <c r="E59" i="64" s="1"/>
  <c r="F81" i="21" s="1"/>
  <c r="K22" i="64"/>
  <c r="K58" i="64" s="1"/>
  <c r="L80" i="21" s="1"/>
  <c r="M22" i="4"/>
  <c r="I23" i="64"/>
  <c r="I59" i="64" s="1"/>
  <c r="J81" i="21" s="1"/>
  <c r="J82" i="21" s="1"/>
  <c r="J109" i="21" s="1"/>
  <c r="J112" i="21" s="1"/>
  <c r="I24" i="4"/>
  <c r="J23" i="64"/>
  <c r="J59" i="64" s="1"/>
  <c r="K81" i="21" s="1"/>
  <c r="K82" i="21" s="1"/>
  <c r="K109" i="21" s="1"/>
  <c r="K112" i="21" s="1"/>
  <c r="J24" i="4"/>
  <c r="L23" i="64"/>
  <c r="L59" i="64" s="1"/>
  <c r="M81" i="21" s="1"/>
  <c r="M82" i="21" s="1"/>
  <c r="M109" i="21" s="1"/>
  <c r="M112" i="21" s="1"/>
  <c r="L24" i="4"/>
  <c r="M57" i="64"/>
  <c r="M21" i="4"/>
  <c r="M22" i="64" s="1"/>
  <c r="M87" i="48" l="1"/>
  <c r="N86" i="48"/>
  <c r="M55" i="48"/>
  <c r="N54" i="48"/>
  <c r="N22" i="48" s="1"/>
  <c r="M23" i="48"/>
  <c r="N80" i="21"/>
  <c r="K126" i="21"/>
  <c r="K121" i="21"/>
  <c r="K123" i="21"/>
  <c r="K122" i="21"/>
  <c r="K128" i="21"/>
  <c r="K127" i="21"/>
  <c r="K129" i="21"/>
  <c r="K119" i="21"/>
  <c r="K120" i="21"/>
  <c r="K130" i="21"/>
  <c r="K125" i="21"/>
  <c r="K124" i="21"/>
  <c r="H25" i="21"/>
  <c r="I124" i="21"/>
  <c r="I119" i="21"/>
  <c r="I125" i="21"/>
  <c r="I126" i="21"/>
  <c r="I120" i="21"/>
  <c r="I130" i="21"/>
  <c r="I129" i="21"/>
  <c r="I127" i="21"/>
  <c r="I122" i="21"/>
  <c r="I128" i="21"/>
  <c r="I123" i="21"/>
  <c r="I121" i="21"/>
  <c r="F82" i="21"/>
  <c r="M129" i="21"/>
  <c r="M126" i="21"/>
  <c r="M124" i="21"/>
  <c r="M127" i="21"/>
  <c r="M130" i="21"/>
  <c r="M120" i="21"/>
  <c r="M119" i="21"/>
  <c r="M121" i="21"/>
  <c r="M123" i="21"/>
  <c r="M128" i="21"/>
  <c r="M122" i="21"/>
  <c r="M125" i="21"/>
  <c r="J119" i="21"/>
  <c r="J129" i="21"/>
  <c r="J124" i="21"/>
  <c r="J126" i="21"/>
  <c r="J130" i="21"/>
  <c r="J120" i="21"/>
  <c r="J121" i="21"/>
  <c r="J127" i="21"/>
  <c r="J128" i="21"/>
  <c r="J123" i="21"/>
  <c r="J122" i="21"/>
  <c r="J125" i="21"/>
  <c r="E23" i="21"/>
  <c r="M23" i="64"/>
  <c r="M24" i="4"/>
  <c r="D42" i="4" s="1"/>
  <c r="J6" i="8" s="1"/>
  <c r="F23" i="64"/>
  <c r="F59" i="64" s="1"/>
  <c r="G81" i="21" s="1"/>
  <c r="G82" i="21" s="1"/>
  <c r="G109" i="21" s="1"/>
  <c r="G112" i="21" s="1"/>
  <c r="F24" i="4"/>
  <c r="J60" i="64"/>
  <c r="E60" i="64"/>
  <c r="H60" i="64"/>
  <c r="K23" i="64"/>
  <c r="K59" i="64" s="1"/>
  <c r="L81" i="21" s="1"/>
  <c r="L82" i="21" s="1"/>
  <c r="L109" i="21" s="1"/>
  <c r="L112" i="21" s="1"/>
  <c r="K24" i="4"/>
  <c r="L60" i="64"/>
  <c r="I60" i="64"/>
  <c r="M58" i="64"/>
  <c r="M56" i="48" l="1"/>
  <c r="N55" i="48"/>
  <c r="N23" i="48" s="1"/>
  <c r="M88" i="48"/>
  <c r="N87" i="48"/>
  <c r="M24" i="48"/>
  <c r="G125" i="21"/>
  <c r="G122" i="21"/>
  <c r="G129" i="21"/>
  <c r="G130" i="21"/>
  <c r="G128" i="21"/>
  <c r="G123" i="21"/>
  <c r="G124" i="21"/>
  <c r="G126" i="21"/>
  <c r="G120" i="21"/>
  <c r="G127" i="21"/>
  <c r="G121" i="21"/>
  <c r="G119" i="21"/>
  <c r="E25" i="21"/>
  <c r="J131" i="21"/>
  <c r="J13" i="21"/>
  <c r="K131" i="21"/>
  <c r="K13" i="21"/>
  <c r="L129" i="21"/>
  <c r="L125" i="21"/>
  <c r="L121" i="21"/>
  <c r="L130" i="21"/>
  <c r="L122" i="21"/>
  <c r="L128" i="21"/>
  <c r="L124" i="21"/>
  <c r="L120" i="21"/>
  <c r="L127" i="21"/>
  <c r="L123" i="21"/>
  <c r="L119" i="21"/>
  <c r="L126" i="21"/>
  <c r="F109" i="21"/>
  <c r="N82" i="21"/>
  <c r="I131" i="21"/>
  <c r="I13" i="21"/>
  <c r="M13" i="21"/>
  <c r="M131" i="21"/>
  <c r="N81" i="21"/>
  <c r="K60" i="64"/>
  <c r="M59" i="64"/>
  <c r="M61" i="64" s="1"/>
  <c r="F91" i="64" s="1"/>
  <c r="F94" i="64" s="1"/>
  <c r="K127" i="1" s="1"/>
  <c r="K137" i="1" s="1"/>
  <c r="F60" i="64"/>
  <c r="N88" i="48" l="1"/>
  <c r="M89" i="48"/>
  <c r="M57" i="48"/>
  <c r="N56" i="48"/>
  <c r="N24" i="48" s="1"/>
  <c r="M25" i="48"/>
  <c r="J14" i="21"/>
  <c r="J15" i="21" s="1"/>
  <c r="J16" i="21" s="1"/>
  <c r="J17" i="21" s="1"/>
  <c r="J18" i="21" s="1"/>
  <c r="J19" i="21" s="1"/>
  <c r="J20" i="21" s="1"/>
  <c r="J21" i="21" s="1"/>
  <c r="J22" i="21" s="1"/>
  <c r="J23" i="21" s="1"/>
  <c r="M14" i="21"/>
  <c r="M15" i="21" s="1"/>
  <c r="M16" i="21" s="1"/>
  <c r="M17" i="21" s="1"/>
  <c r="M18" i="21" s="1"/>
  <c r="M19" i="21" s="1"/>
  <c r="M20" i="21" s="1"/>
  <c r="M21" i="21" s="1"/>
  <c r="M22" i="21" s="1"/>
  <c r="M23" i="21" s="1"/>
  <c r="F112" i="21"/>
  <c r="N109" i="21"/>
  <c r="I14" i="21"/>
  <c r="I15" i="21" s="1"/>
  <c r="I16" i="21" s="1"/>
  <c r="I17" i="21" s="1"/>
  <c r="I18" i="21" s="1"/>
  <c r="I19" i="21" s="1"/>
  <c r="I20" i="21" s="1"/>
  <c r="I21" i="21" s="1"/>
  <c r="I22" i="21" s="1"/>
  <c r="I23" i="21" s="1"/>
  <c r="K14" i="21"/>
  <c r="K15" i="21" s="1"/>
  <c r="K16" i="21" s="1"/>
  <c r="K17" i="21" s="1"/>
  <c r="K18" i="21" s="1"/>
  <c r="K19" i="21" s="1"/>
  <c r="K20" i="21" s="1"/>
  <c r="K21" i="21" s="1"/>
  <c r="K22" i="21" s="1"/>
  <c r="K23" i="21" s="1"/>
  <c r="G131" i="21"/>
  <c r="G13" i="21"/>
  <c r="L131" i="21"/>
  <c r="L13" i="21"/>
  <c r="J51" i="8"/>
  <c r="M58" i="48" l="1"/>
  <c r="N57" i="48"/>
  <c r="N25" i="48" s="1"/>
  <c r="M90" i="48"/>
  <c r="N89" i="48"/>
  <c r="M26" i="48"/>
  <c r="M25" i="21"/>
  <c r="I25" i="21"/>
  <c r="L14" i="21"/>
  <c r="L15" i="21" s="1"/>
  <c r="L16" i="21" s="1"/>
  <c r="L17" i="21" s="1"/>
  <c r="L18" i="21" s="1"/>
  <c r="L19" i="21" s="1"/>
  <c r="L20" i="21" s="1"/>
  <c r="L21" i="21" s="1"/>
  <c r="L22" i="21" s="1"/>
  <c r="L23" i="21" s="1"/>
  <c r="K25" i="21"/>
  <c r="J25" i="21"/>
  <c r="G14" i="21"/>
  <c r="G15" i="21" s="1"/>
  <c r="G16" i="21" s="1"/>
  <c r="G17" i="21" s="1"/>
  <c r="G18" i="21" s="1"/>
  <c r="G19" i="21" s="1"/>
  <c r="G20" i="21" s="1"/>
  <c r="G21" i="21" s="1"/>
  <c r="G22" i="21" s="1"/>
  <c r="G23" i="21" s="1"/>
  <c r="F126" i="21"/>
  <c r="N126" i="21" s="1"/>
  <c r="F121" i="21"/>
  <c r="N121" i="21" s="1"/>
  <c r="F120" i="21"/>
  <c r="N120" i="21" s="1"/>
  <c r="F119" i="21"/>
  <c r="F129" i="21"/>
  <c r="N129" i="21" s="1"/>
  <c r="F124" i="21"/>
  <c r="N124" i="21" s="1"/>
  <c r="F122" i="21"/>
  <c r="N122" i="21" s="1"/>
  <c r="F128" i="21"/>
  <c r="N128" i="21" s="1"/>
  <c r="F127" i="21"/>
  <c r="N127" i="21" s="1"/>
  <c r="F130" i="21"/>
  <c r="N130" i="21" s="1"/>
  <c r="F125" i="21"/>
  <c r="N125" i="21" s="1"/>
  <c r="F123" i="21"/>
  <c r="N123" i="21" s="1"/>
  <c r="N112" i="21"/>
  <c r="D70" i="7"/>
  <c r="D71" i="7" s="1"/>
  <c r="D73" i="7" s="1"/>
  <c r="D79" i="7" s="1"/>
  <c r="K139" i="1"/>
  <c r="K140" i="1"/>
  <c r="N90" i="48" l="1"/>
  <c r="M91" i="48"/>
  <c r="M59" i="48"/>
  <c r="N58" i="48"/>
  <c r="N26" i="48" s="1"/>
  <c r="M27" i="48"/>
  <c r="H89" i="44"/>
  <c r="F131" i="21"/>
  <c r="F13" i="21"/>
  <c r="N119" i="21"/>
  <c r="N131" i="21" s="1"/>
  <c r="G25" i="21"/>
  <c r="L25" i="21"/>
  <c r="K142" i="1"/>
  <c r="M60" i="48" l="1"/>
  <c r="N59" i="48"/>
  <c r="N27" i="48" s="1"/>
  <c r="N91" i="48"/>
  <c r="M92" i="48"/>
  <c r="M28" i="48"/>
  <c r="C6" i="9"/>
  <c r="F14" i="21"/>
  <c r="N13" i="21"/>
  <c r="K147" i="1"/>
  <c r="M93" i="48" l="1"/>
  <c r="N92" i="48"/>
  <c r="M61" i="48"/>
  <c r="N60" i="48"/>
  <c r="N28" i="48" s="1"/>
  <c r="M29" i="48"/>
  <c r="F15" i="21"/>
  <c r="N14" i="21"/>
  <c r="M62" i="48" l="1"/>
  <c r="N61" i="48"/>
  <c r="N29" i="48" s="1"/>
  <c r="N93" i="48"/>
  <c r="M94" i="48"/>
  <c r="M30" i="48"/>
  <c r="F16" i="21"/>
  <c r="N15" i="21"/>
  <c r="M95" i="48" l="1"/>
  <c r="N94" i="48"/>
  <c r="M63" i="48"/>
  <c r="N62" i="48"/>
  <c r="N30" i="48" s="1"/>
  <c r="M31" i="48"/>
  <c r="F17" i="21"/>
  <c r="N16" i="21"/>
  <c r="M64" i="48" l="1"/>
  <c r="N63" i="48"/>
  <c r="N31" i="48" s="1"/>
  <c r="N95" i="48"/>
  <c r="M96" i="48"/>
  <c r="M32" i="48"/>
  <c r="F18" i="21"/>
  <c r="N17" i="21"/>
  <c r="M97" i="48" l="1"/>
  <c r="N96" i="48"/>
  <c r="M65" i="48"/>
  <c r="N64" i="48"/>
  <c r="N32" i="48" s="1"/>
  <c r="M33" i="48"/>
  <c r="F19" i="21"/>
  <c r="N18" i="21"/>
  <c r="M66" i="48" l="1"/>
  <c r="N65" i="48"/>
  <c r="N33" i="48" s="1"/>
  <c r="N97" i="48"/>
  <c r="M98" i="48"/>
  <c r="F20" i="21"/>
  <c r="N19" i="21"/>
  <c r="M67" i="48" l="1"/>
  <c r="N66" i="48"/>
  <c r="N34" i="48" s="1"/>
  <c r="M34" i="48"/>
  <c r="N98" i="48"/>
  <c r="M99" i="48"/>
  <c r="N99" i="48" s="1"/>
  <c r="M35" i="48"/>
  <c r="F21" i="21"/>
  <c r="N20" i="21"/>
  <c r="M68" i="48" l="1"/>
  <c r="N67" i="48"/>
  <c r="N35" i="48" s="1"/>
  <c r="F22" i="21"/>
  <c r="N21" i="21"/>
  <c r="N68" i="48" l="1"/>
  <c r="M36" i="48"/>
  <c r="N36" i="48"/>
  <c r="N37" i="48" s="1"/>
  <c r="D78" i="7" s="1"/>
  <c r="D80" i="7" s="1"/>
  <c r="D86" i="7" s="1"/>
  <c r="D88" i="7" s="1"/>
  <c r="F23" i="21"/>
  <c r="N22" i="21"/>
  <c r="D89" i="7" l="1"/>
  <c r="H90" i="44" s="1"/>
  <c r="H91" i="44" s="1"/>
  <c r="H93" i="44" s="1"/>
  <c r="K156" i="1" s="1"/>
  <c r="N23" i="21"/>
  <c r="F25" i="21"/>
  <c r="N25" i="21" s="1"/>
  <c r="D91" i="7" l="1"/>
  <c r="K148" i="1" s="1"/>
  <c r="J18" i="8"/>
  <c r="C7" i="9" l="1"/>
  <c r="J21" i="8"/>
  <c r="J29" i="8" l="1"/>
  <c r="J34" i="8" s="1"/>
  <c r="J55" i="8" s="1"/>
  <c r="J41" i="8" l="1"/>
  <c r="J38" i="8"/>
  <c r="F90" i="12"/>
  <c r="F92" i="12" s="1"/>
  <c r="F94" i="12" s="1"/>
  <c r="F98" i="12" s="1"/>
  <c r="F101" i="12" s="1"/>
  <c r="J56" i="8" l="1"/>
  <c r="J59" i="8" l="1"/>
  <c r="J64" i="8" s="1"/>
  <c r="E68" i="8" l="1"/>
  <c r="E70" i="8" l="1"/>
  <c r="E72" i="8"/>
  <c r="E73" i="8" l="1"/>
  <c r="E14" i="65" l="1"/>
  <c r="E36" i="65" l="1"/>
  <c r="H36" i="65" s="1"/>
  <c r="E27" i="65"/>
  <c r="H27" i="65" s="1"/>
  <c r="E34" i="65"/>
  <c r="H34" i="65" s="1"/>
  <c r="E31" i="65"/>
  <c r="H31" i="65" s="1"/>
  <c r="E29" i="65"/>
  <c r="H29" i="65" s="1"/>
  <c r="E32" i="65"/>
  <c r="H32" i="65" s="1"/>
  <c r="E33" i="65"/>
  <c r="H33" i="65" s="1"/>
  <c r="E30" i="65"/>
  <c r="H30" i="65" s="1"/>
  <c r="E28" i="65"/>
  <c r="H28" i="65" s="1"/>
  <c r="E35" i="65"/>
  <c r="H35" i="65" s="1"/>
  <c r="E26" i="65"/>
  <c r="H26" i="65" s="1"/>
  <c r="E25" i="65"/>
  <c r="H25" i="65" s="1"/>
  <c r="J25" i="65" s="1"/>
  <c r="K25" i="65" s="1"/>
  <c r="L25" i="65" s="1"/>
  <c r="J26" i="65" l="1"/>
  <c r="K26" i="65" s="1"/>
  <c r="L26" i="65" s="1"/>
  <c r="J27" i="65" s="1"/>
  <c r="K27" i="65" s="1"/>
  <c r="L27" i="65" s="1"/>
  <c r="J28" i="65" s="1"/>
  <c r="K28" i="65" s="1"/>
  <c r="L28" i="65" s="1"/>
  <c r="J29" i="65" s="1"/>
  <c r="K29" i="65" s="1"/>
  <c r="L29" i="65" s="1"/>
  <c r="J30" i="65" s="1"/>
  <c r="K30" i="65" s="1"/>
  <c r="L30" i="65" s="1"/>
  <c r="J31" i="65" s="1"/>
  <c r="K31" i="65" s="1"/>
  <c r="L31" i="65" s="1"/>
  <c r="J32" i="65" s="1"/>
  <c r="K32" i="65" s="1"/>
  <c r="L32" i="65" s="1"/>
  <c r="J33" i="65" s="1"/>
  <c r="K33" i="65" s="1"/>
  <c r="L33" i="65" s="1"/>
  <c r="J34" i="65" s="1"/>
  <c r="K34" i="65" s="1"/>
  <c r="L34" i="65" s="1"/>
  <c r="J35" i="65" s="1"/>
  <c r="K35" i="65" s="1"/>
  <c r="L35" i="65" s="1"/>
  <c r="J36" i="65" s="1"/>
  <c r="K36" i="65" s="1"/>
  <c r="L36" i="65" s="1"/>
  <c r="E40" i="65" s="1"/>
  <c r="E42" i="65" l="1"/>
  <c r="E43" i="65" l="1"/>
  <c r="E44" i="65" l="1"/>
  <c r="K149" i="1" s="1"/>
  <c r="C8" i="9" l="1"/>
  <c r="C10" i="9" s="1"/>
  <c r="K152" i="1"/>
  <c r="D4" i="53" l="1"/>
  <c r="K155" i="1"/>
  <c r="K157" i="1" l="1"/>
  <c r="D17" i="53"/>
  <c r="L17" i="53" s="1"/>
  <c r="D19" i="53"/>
  <c r="D22" i="53"/>
  <c r="D25" i="53"/>
  <c r="L25" i="53" s="1"/>
  <c r="D16" i="53"/>
  <c r="L16" i="53" s="1"/>
  <c r="D15" i="53"/>
  <c r="D12" i="53"/>
  <c r="K12" i="53" s="1"/>
  <c r="D20" i="53"/>
  <c r="D23" i="53"/>
  <c r="D18" i="53"/>
  <c r="D13" i="53"/>
  <c r="D21" i="53"/>
  <c r="D24" i="53"/>
  <c r="L24" i="53" s="1"/>
  <c r="D26" i="53"/>
  <c r="B4" i="31" l="1"/>
  <c r="D18" i="31" s="1"/>
  <c r="K13" i="53"/>
  <c r="M14" i="53" s="1"/>
  <c r="N14" i="53" s="1"/>
  <c r="L14" i="53" s="1"/>
  <c r="D28" i="53"/>
  <c r="D46" i="53"/>
  <c r="C46" i="53" s="1"/>
  <c r="D59" i="53"/>
  <c r="K26" i="53"/>
  <c r="D48" i="53"/>
  <c r="K15" i="53"/>
  <c r="L20" i="53"/>
  <c r="H38" i="53"/>
  <c r="J38" i="53" s="1"/>
  <c r="L22" i="53"/>
  <c r="C37" i="53"/>
  <c r="E37" i="53" s="1"/>
  <c r="I55" i="53" s="1"/>
  <c r="E55" i="53" s="1"/>
  <c r="C36" i="53"/>
  <c r="E36" i="53" s="1"/>
  <c r="I54" i="53" s="1"/>
  <c r="L21" i="53"/>
  <c r="L18" i="53"/>
  <c r="H36" i="53"/>
  <c r="J36" i="53" s="1"/>
  <c r="H37" i="53"/>
  <c r="J37" i="53" s="1"/>
  <c r="L19" i="53"/>
  <c r="L23" i="53"/>
  <c r="C38" i="53"/>
  <c r="E38" i="53" s="1"/>
  <c r="I56" i="53" s="1"/>
  <c r="E56" i="53" s="1"/>
  <c r="E18" i="31" l="1"/>
  <c r="E20" i="31" s="1"/>
  <c r="D20" i="31"/>
  <c r="F18" i="31"/>
  <c r="F20" i="31" s="1"/>
  <c r="H54" i="53"/>
  <c r="D51" i="53"/>
  <c r="D54" i="53"/>
  <c r="C59" i="53"/>
  <c r="G59" i="53"/>
  <c r="G48" i="53"/>
  <c r="C48" i="53"/>
  <c r="G46" i="53"/>
  <c r="I50" i="53"/>
  <c r="E50" i="53" s="1"/>
  <c r="D50" i="53" s="1"/>
  <c r="I57" i="53"/>
  <c r="I49" i="53"/>
  <c r="E49" i="53" s="1"/>
  <c r="D49" i="53" s="1"/>
  <c r="I58" i="53"/>
  <c r="E58" i="53" s="1"/>
  <c r="D58" i="53" s="1"/>
  <c r="E54" i="53"/>
  <c r="I47" i="53"/>
  <c r="E47" i="53" s="1"/>
  <c r="D55" i="53"/>
  <c r="C55" i="53" s="1"/>
  <c r="D52" i="53"/>
  <c r="H55" i="53"/>
  <c r="D53" i="53"/>
  <c r="H56" i="53"/>
  <c r="D56" i="53"/>
  <c r="C56" i="53" s="1"/>
  <c r="C49" i="53" l="1"/>
  <c r="H49" i="53"/>
  <c r="M49" i="53"/>
  <c r="M50" i="53" s="1"/>
  <c r="K57" i="53"/>
  <c r="E57" i="53"/>
  <c r="D57" i="53" s="1"/>
  <c r="C54" i="53"/>
  <c r="H58" i="53"/>
  <c r="C58" i="53"/>
  <c r="M53" i="53"/>
  <c r="H53" i="53"/>
  <c r="C53" i="53"/>
  <c r="M51" i="53"/>
  <c r="C51" i="53"/>
  <c r="H51" i="53"/>
  <c r="H47" i="53"/>
  <c r="D47" i="53"/>
  <c r="H50" i="53"/>
  <c r="C50" i="53"/>
  <c r="M52" i="53"/>
  <c r="H52" i="53"/>
  <c r="C52" i="53"/>
  <c r="E61" i="53" l="1"/>
  <c r="B8" i="31" s="1"/>
  <c r="F24" i="31" s="1"/>
  <c r="F27" i="31" s="1"/>
  <c r="E12" i="32" s="1"/>
  <c r="E14" i="32" s="1"/>
  <c r="C47" i="53"/>
  <c r="D61" i="53"/>
  <c r="H57" i="53"/>
  <c r="J57" i="53" s="1"/>
  <c r="C57" i="53"/>
  <c r="M47" i="53"/>
  <c r="G47" i="53"/>
  <c r="G126" i="61"/>
  <c r="G135" i="61" s="1"/>
  <c r="D24" i="31" l="1"/>
  <c r="D27" i="31" s="1"/>
  <c r="E24" i="31"/>
  <c r="E27" i="31" s="1"/>
  <c r="E26" i="32" s="1"/>
  <c r="E28" i="32" s="1"/>
  <c r="C61" i="53"/>
  <c r="G52" i="61"/>
  <c r="G70" i="61" s="1"/>
  <c r="G219" i="61" s="1"/>
  <c r="I70" i="61"/>
  <c r="I219" i="61" s="1"/>
  <c r="E20" i="32" l="1"/>
  <c r="E22" i="32" s="1"/>
</calcChain>
</file>

<file path=xl/sharedStrings.xml><?xml version="1.0" encoding="utf-8"?>
<sst xmlns="http://schemas.openxmlformats.org/spreadsheetml/2006/main" count="6388" uniqueCount="2839">
  <si>
    <t>True-Up</t>
  </si>
  <si>
    <t>CWIP</t>
  </si>
  <si>
    <t>Balances</t>
  </si>
  <si>
    <t>In Service</t>
  </si>
  <si>
    <t>Total:</t>
  </si>
  <si>
    <t>Income Taxes</t>
  </si>
  <si>
    <t>Calculation of Components of Working Capital</t>
  </si>
  <si>
    <t xml:space="preserve">Prepayments is an allocated portion of Total Prepayments based </t>
  </si>
  <si>
    <t>Incentive</t>
  </si>
  <si>
    <t>ROE Adder</t>
  </si>
  <si>
    <t>13-Month Avg.</t>
  </si>
  <si>
    <t>Revenue Credits</t>
  </si>
  <si>
    <t>FERC</t>
  </si>
  <si>
    <t>Rate</t>
  </si>
  <si>
    <t>HV</t>
  </si>
  <si>
    <t>LV</t>
  </si>
  <si>
    <t>FICA</t>
  </si>
  <si>
    <t>Inputs are shaded yellow</t>
  </si>
  <si>
    <t>Forecast Period</t>
  </si>
  <si>
    <t>Monthly</t>
  </si>
  <si>
    <t>Retail</t>
  </si>
  <si>
    <t>Revenues</t>
  </si>
  <si>
    <t>in Revenue</t>
  </si>
  <si>
    <t>Interest</t>
  </si>
  <si>
    <t>Calculation of Components of Cost of Capital Rate</t>
  </si>
  <si>
    <t>Cost of Preferred Stock</t>
  </si>
  <si>
    <t>Debt</t>
  </si>
  <si>
    <t>Preferred Stock</t>
  </si>
  <si>
    <t>Equity</t>
  </si>
  <si>
    <t>True Up Adjustment</t>
  </si>
  <si>
    <t>Excess (-) or</t>
  </si>
  <si>
    <t>Shortfall (+)</t>
  </si>
  <si>
    <t>True Up Adjustment:</t>
  </si>
  <si>
    <t>SCE Records</t>
  </si>
  <si>
    <t>FF1 207.104g</t>
  </si>
  <si>
    <t>Factor</t>
  </si>
  <si>
    <t>1) Federal Income Tax rate</t>
  </si>
  <si>
    <t>Federal</t>
  </si>
  <si>
    <t>2) Composite State Income Tax Rate</t>
  </si>
  <si>
    <t>Fed Ins Cont Amt -- Current</t>
  </si>
  <si>
    <t>FICA/OASDI Emp Incntv.</t>
  </si>
  <si>
    <t>FICA/HIT Emp Incntv.</t>
  </si>
  <si>
    <t>Preferred Stock Amount -- Account 204</t>
  </si>
  <si>
    <t>Preferred Stock Cost Percentage</t>
  </si>
  <si>
    <t>Common Stock Equity Amount</t>
  </si>
  <si>
    <t>Less Preferred Stock Amount -- Account 204</t>
  </si>
  <si>
    <t>Total Capital</t>
  </si>
  <si>
    <t>Preferred Stock Amount</t>
  </si>
  <si>
    <t>Capital Percentages</t>
  </si>
  <si>
    <t>Common Stock Capital Percentage</t>
  </si>
  <si>
    <t>Weighted Cost of Long Term Debt</t>
  </si>
  <si>
    <t>Weighted Cost of Preferred Stock</t>
  </si>
  <si>
    <t>Weighted Cost of Common Stock</t>
  </si>
  <si>
    <t>Cost of Capital Rate</t>
  </si>
  <si>
    <t>Return on Capital: Rate Base times Cost of Capital Rate</t>
  </si>
  <si>
    <t>Network Upgrade Credits</t>
  </si>
  <si>
    <t>Network Upgrade Interest Expense</t>
  </si>
  <si>
    <t>Transmission Plant Allocation Factor</t>
  </si>
  <si>
    <t>Total General Plant</t>
  </si>
  <si>
    <t>Total Electric Miscellaneous Intangible Plant</t>
  </si>
  <si>
    <t>Property Taxes</t>
  </si>
  <si>
    <t>Total Electric Payroll Tax Expense</t>
  </si>
  <si>
    <t>PRIOR YEAR TRANSMISSION REVENUE REQUIREMENT</t>
  </si>
  <si>
    <t>Prior Year</t>
  </si>
  <si>
    <t>Jan</t>
  </si>
  <si>
    <t>Feb</t>
  </si>
  <si>
    <t>Mar</t>
  </si>
  <si>
    <t>Apr</t>
  </si>
  <si>
    <t>Jun</t>
  </si>
  <si>
    <t>Jul</t>
  </si>
  <si>
    <t>Aug</t>
  </si>
  <si>
    <t>Sep</t>
  </si>
  <si>
    <t>Oct</t>
  </si>
  <si>
    <t>Nov</t>
  </si>
  <si>
    <t>Dec</t>
  </si>
  <si>
    <t>HV/LV</t>
  </si>
  <si>
    <t>---</t>
  </si>
  <si>
    <t>Revenue</t>
  </si>
  <si>
    <t>Prior Year Incentive Adder =</t>
  </si>
  <si>
    <t>Other Taxes</t>
  </si>
  <si>
    <t xml:space="preserve"> = LV Allocation Factor</t>
  </si>
  <si>
    <t xml:space="preserve"> = HV Allocation Factor</t>
  </si>
  <si>
    <t>SCE Retail Standby Rate Revenue</t>
  </si>
  <si>
    <t>TRR Values</t>
  </si>
  <si>
    <t>Average BOY/EOY Value:</t>
  </si>
  <si>
    <t>Beginning of year ("BOY") amount</t>
  </si>
  <si>
    <t>c) Income Taxes</t>
  </si>
  <si>
    <t>Return on Capital</t>
  </si>
  <si>
    <t>Miscellaneous General Expense</t>
  </si>
  <si>
    <t>End of Year ("EOY") amount</t>
  </si>
  <si>
    <t>Working Capital</t>
  </si>
  <si>
    <t>Materials and Supplies</t>
  </si>
  <si>
    <t>Prepayments</t>
  </si>
  <si>
    <t>Transmission Wages and Salaries Allocation Factor</t>
  </si>
  <si>
    <t>Transmission Plant Allocation Factor:</t>
  </si>
  <si>
    <t>Prior Year TRR</t>
  </si>
  <si>
    <t>True-Up Adjustment</t>
  </si>
  <si>
    <t>Subtotal:</t>
  </si>
  <si>
    <t>Calculation of Accumulated Deferred Income Taxes</t>
  </si>
  <si>
    <t>Account</t>
  </si>
  <si>
    <t>Description</t>
  </si>
  <si>
    <t>O&amp;M Expense</t>
  </si>
  <si>
    <t>A&amp;G Salaries</t>
  </si>
  <si>
    <t>Office Supplies and Expenses</t>
  </si>
  <si>
    <t>A&amp;G Expenses Transferred</t>
  </si>
  <si>
    <t>Outside Services Employed</t>
  </si>
  <si>
    <t>Property Insurance</t>
  </si>
  <si>
    <t>Injuries and Damages</t>
  </si>
  <si>
    <t>Employee Pensions and Benefits</t>
  </si>
  <si>
    <t>Franchise Requirements</t>
  </si>
  <si>
    <t>Regulatory Commission Expenses</t>
  </si>
  <si>
    <t>Duplicate Charges</t>
  </si>
  <si>
    <t>General Advertising Expense</t>
  </si>
  <si>
    <t>Rents</t>
  </si>
  <si>
    <t>Maintenance of General Plant</t>
  </si>
  <si>
    <t>Acct.</t>
  </si>
  <si>
    <t>Excluded</t>
  </si>
  <si>
    <t>FF1 323.181b</t>
  </si>
  <si>
    <t>FF1 323.182b</t>
  </si>
  <si>
    <t>FF1 323.183b</t>
  </si>
  <si>
    <t>FF1 323.184b</t>
  </si>
  <si>
    <t>FF1 323.185b</t>
  </si>
  <si>
    <t>FF1 323.186b</t>
  </si>
  <si>
    <t>FF1 323.187b</t>
  </si>
  <si>
    <t>FF1 323.188b</t>
  </si>
  <si>
    <t>FF1 323.189b</t>
  </si>
  <si>
    <t>FF1 323.190b</t>
  </si>
  <si>
    <t>FF1 323.191b</t>
  </si>
  <si>
    <t>FF1 323.192b</t>
  </si>
  <si>
    <t>FF1 323.193b</t>
  </si>
  <si>
    <t>FF1 323.196b</t>
  </si>
  <si>
    <t>Total A&amp;G Expenses:</t>
  </si>
  <si>
    <t>Transmission Wages and Salaries Allocation Factor:</t>
  </si>
  <si>
    <t xml:space="preserve"> = Wholesale Base TRR</t>
  </si>
  <si>
    <t xml:space="preserve"> = Total Wholesale TRBAA</t>
  </si>
  <si>
    <t xml:space="preserve"> = HV Wholesale TRBAA</t>
  </si>
  <si>
    <t xml:space="preserve"> = LV Wholesale TRBAA</t>
  </si>
  <si>
    <t xml:space="preserve"> = Total Standby Transmission Revenues</t>
  </si>
  <si>
    <t>TOTAL</t>
  </si>
  <si>
    <t>Wholesale TRBAA:</t>
  </si>
  <si>
    <t>SCE's wholesale rates are as follows:</t>
  </si>
  <si>
    <t>1) Low Voltage Access Charge</t>
  </si>
  <si>
    <t>Calculation of Low Voltage Access Charge:</t>
  </si>
  <si>
    <t>per kWh</t>
  </si>
  <si>
    <t>Calculation of High Voltage Utility Specific Rate:</t>
  </si>
  <si>
    <t>(used by ISO in billing of ISO TAC)</t>
  </si>
  <si>
    <t>SCE HV TRR =</t>
  </si>
  <si>
    <t>Calculation of High Voltage Existing Contracts Access Charge:</t>
  </si>
  <si>
    <t>MW</t>
  </si>
  <si>
    <t>Wholesale Base TRR:</t>
  </si>
  <si>
    <t>Determination of Incentive Adders Components of the TRR</t>
  </si>
  <si>
    <t>Negative amount</t>
  </si>
  <si>
    <t>Rate Base Item</t>
  </si>
  <si>
    <t>Method</t>
  </si>
  <si>
    <t>Calculation</t>
  </si>
  <si>
    <t>BOY/EOY Avg.</t>
  </si>
  <si>
    <t>EOY Value:</t>
  </si>
  <si>
    <t>Transmission Plant Held for Future Use</t>
  </si>
  <si>
    <t>2) Calculation of Prepayments</t>
  </si>
  <si>
    <t>1) Calculation of Materials and Supplies</t>
  </si>
  <si>
    <t>FF1 111.57d</t>
  </si>
  <si>
    <t>FF1 111.57c</t>
  </si>
  <si>
    <t>Prepayments:</t>
  </si>
  <si>
    <t>Accumulated Depreciation Reserve</t>
  </si>
  <si>
    <t>Accumulated Deferred Income Taxes</t>
  </si>
  <si>
    <t>Accumulated Depreciation Reserve Balances</t>
  </si>
  <si>
    <t>Southern California Edison Company</t>
  </si>
  <si>
    <t>Formula Transmission Rate</t>
  </si>
  <si>
    <t>Notes</t>
  </si>
  <si>
    <t xml:space="preserve">FERC Form 1 Reference </t>
  </si>
  <si>
    <t>or Instruction</t>
  </si>
  <si>
    <t>Value</t>
  </si>
  <si>
    <t>Cash Working Capital</t>
  </si>
  <si>
    <t>Rate Base</t>
  </si>
  <si>
    <t>TRR Component</t>
  </si>
  <si>
    <t>Amount</t>
  </si>
  <si>
    <t>RATE BASE</t>
  </si>
  <si>
    <t>RETURN AND CAPITALIZATION CALCULATIONS</t>
  </si>
  <si>
    <t>INCOME TAXES</t>
  </si>
  <si>
    <t>Source</t>
  </si>
  <si>
    <t>December</t>
  </si>
  <si>
    <t>January</t>
  </si>
  <si>
    <t>February</t>
  </si>
  <si>
    <t>April</t>
  </si>
  <si>
    <t>May</t>
  </si>
  <si>
    <t xml:space="preserve">June </t>
  </si>
  <si>
    <t>July</t>
  </si>
  <si>
    <t>August</t>
  </si>
  <si>
    <t>September</t>
  </si>
  <si>
    <t xml:space="preserve">October </t>
  </si>
  <si>
    <t>November</t>
  </si>
  <si>
    <t>October</t>
  </si>
  <si>
    <t>Month</t>
  </si>
  <si>
    <t>Year</t>
  </si>
  <si>
    <t>Data</t>
  </si>
  <si>
    <t>March</t>
  </si>
  <si>
    <t>Total</t>
  </si>
  <si>
    <t>Totals:</t>
  </si>
  <si>
    <t>Forecast</t>
  </si>
  <si>
    <t>Period</t>
  </si>
  <si>
    <t>Transmission Wages and Salary Allocation Factor</t>
  </si>
  <si>
    <t>ADIT</t>
  </si>
  <si>
    <t>Calculation of Allocation Factors</t>
  </si>
  <si>
    <t xml:space="preserve">1) The Prior Year TRR component is the TRR associated with the Prior Year (most recent calendar year).  </t>
  </si>
  <si>
    <t>Cumulative</t>
  </si>
  <si>
    <t>Reference</t>
  </si>
  <si>
    <t>Bonds -- Account 221</t>
  </si>
  <si>
    <t>Less Reacquired Bonds -- Account 222</t>
  </si>
  <si>
    <t>Other Long Term Debt -- Account 224</t>
  </si>
  <si>
    <t>Long Term Debt Amount</t>
  </si>
  <si>
    <t>Total Proprietary Capital</t>
  </si>
  <si>
    <t>See Note 2</t>
  </si>
  <si>
    <t>See Note 1</t>
  </si>
  <si>
    <t>SCE Return on Equity</t>
  </si>
  <si>
    <t>Federal Income Tax Rate</t>
  </si>
  <si>
    <t>Used for Tax calculation</t>
  </si>
  <si>
    <t>Where:</t>
  </si>
  <si>
    <t>RB = Rate Base</t>
  </si>
  <si>
    <t>CTR = Composite Tax Rate</t>
  </si>
  <si>
    <t>CO = Credits and Other</t>
  </si>
  <si>
    <t>Annual Cost of Capital Components</t>
  </si>
  <si>
    <t>Yes</t>
  </si>
  <si>
    <t>No</t>
  </si>
  <si>
    <t>Tehachapi</t>
  </si>
  <si>
    <t>Project</t>
  </si>
  <si>
    <t>1) Rancho Vista</t>
  </si>
  <si>
    <t>2) Tehachapi</t>
  </si>
  <si>
    <t>End-of-Year</t>
  </si>
  <si>
    <t>13-Month</t>
  </si>
  <si>
    <t>Average</t>
  </si>
  <si>
    <t>Notes:</t>
  </si>
  <si>
    <t>Franchise Fee Expense:</t>
  </si>
  <si>
    <t>From</t>
  </si>
  <si>
    <t>To</t>
  </si>
  <si>
    <t>FF Factor</t>
  </si>
  <si>
    <t>U Factor</t>
  </si>
  <si>
    <t>Note:</t>
  </si>
  <si>
    <t>Total Wages and Salaries</t>
  </si>
  <si>
    <t>Less Total A&amp;G Wages and Salaries</t>
  </si>
  <si>
    <t>Transmission W&amp;S Allocation Factor:</t>
  </si>
  <si>
    <t>CWIP Plant</t>
  </si>
  <si>
    <t>b) EOY calculation</t>
  </si>
  <si>
    <t>Total Prepayments</t>
  </si>
  <si>
    <t>Working Capital amounts</t>
  </si>
  <si>
    <t>Plant Balances For Incentive Projects Receiving either ROE Incentives ("Transmission Incentive Plant")</t>
  </si>
  <si>
    <t>or CWIP ("CWIP Plant")</t>
  </si>
  <si>
    <t>Input data is shaded yellow</t>
  </si>
  <si>
    <t>A) Summary of Incentive Project plant balances receiving ROE incentives</t>
  </si>
  <si>
    <t>("Transmission Incentive Plant") and/or CWIP ("CWIP Plant") and calculation</t>
  </si>
  <si>
    <t>Portion</t>
  </si>
  <si>
    <t>Depreciation Expense</t>
  </si>
  <si>
    <t>OTHER TAXES</t>
  </si>
  <si>
    <t>Payroll Taxes Expense</t>
  </si>
  <si>
    <t>Cost of Long Term Debt</t>
  </si>
  <si>
    <t>Long Term Debt Cost Percentage</t>
  </si>
  <si>
    <t>Long Term Debt Capital Percentage</t>
  </si>
  <si>
    <t>Preferred Stock Capital Percentage</t>
  </si>
  <si>
    <t>Composite Tax Rate</t>
  </si>
  <si>
    <t>State Income Tax Rate</t>
  </si>
  <si>
    <t>Calculation of Cost of Capital Rate</t>
  </si>
  <si>
    <t>Calculation of Credits and Other:</t>
  </si>
  <si>
    <t>Credits and Other</t>
  </si>
  <si>
    <t>Income Taxes:</t>
  </si>
  <si>
    <t>Component of Prior Year TRR:</t>
  </si>
  <si>
    <t>A&amp;G Expense</t>
  </si>
  <si>
    <t>Prior Year Incentive Adder</t>
  </si>
  <si>
    <t>TOTAL BASE TRANSMISSION REVENUE REQUIREMENT</t>
  </si>
  <si>
    <t>For Retail Purposes</t>
  </si>
  <si>
    <t>Calculation of Long Term Debt Amount</t>
  </si>
  <si>
    <t>Calculation of Common Stock Equity Amount</t>
  </si>
  <si>
    <t>Forecast Plant Additions:</t>
  </si>
  <si>
    <t>AFCR:</t>
  </si>
  <si>
    <t>1) Calculation of Incremental Return on Equity Factor</t>
  </si>
  <si>
    <t>2) Determination of multiplicative factors for use in calculating Incentive Adders:</t>
  </si>
  <si>
    <t>3) Calculation of Prior Year Incentive Adder (EOY)</t>
  </si>
  <si>
    <t>Multiplicative</t>
  </si>
  <si>
    <t>Adder</t>
  </si>
  <si>
    <t>Working Capital Amounts</t>
  </si>
  <si>
    <t>Accumulated Depreciation Reserve Amounts</t>
  </si>
  <si>
    <t>True Up</t>
  </si>
  <si>
    <t>Calculation of Administrative and General Expense</t>
  </si>
  <si>
    <t>Composite State</t>
  </si>
  <si>
    <t>See Note 3</t>
  </si>
  <si>
    <t>MWh</t>
  </si>
  <si>
    <t>FF1 354.28b</t>
  </si>
  <si>
    <t>FF1 354.27b</t>
  </si>
  <si>
    <t>Uncollectibles Expense</t>
  </si>
  <si>
    <t>Franchise Fees Expense</t>
  </si>
  <si>
    <t>Difference</t>
  </si>
  <si>
    <t>(1/(1-CTR))</t>
  </si>
  <si>
    <t>Composite Tax Rate ("CTR")</t>
  </si>
  <si>
    <t xml:space="preserve">Determination of amount of Abandoned Plant and Abandoned Plant Amortization Expense </t>
  </si>
  <si>
    <t>Abandoned Plant Amortization Expense</t>
  </si>
  <si>
    <t>Less Account  924:</t>
  </si>
  <si>
    <t>Property Insurance portion of A&amp;G:</t>
  </si>
  <si>
    <t>Administrative and General Expenses:</t>
  </si>
  <si>
    <t>The Incremental Return on Equity Factor is the incremental Prior Year TRR expressed per 100 basis points of</t>
  </si>
  <si>
    <t>Incremental</t>
  </si>
  <si>
    <t>of balances needed to determine the following:</t>
  </si>
  <si>
    <t>TIP Net Plant</t>
  </si>
  <si>
    <t>EOY</t>
  </si>
  <si>
    <t xml:space="preserve">Multiplicative factors are used to calculate the Incentive Adders on an Transmission Incentive Project specific basis.  </t>
  </si>
  <si>
    <t>Cells shaded yellow are input cells</t>
  </si>
  <si>
    <t>Wages and Salaries AF:</t>
  </si>
  <si>
    <t>General and Intangible Plant is an allocated portion of Total G&amp;I Plant based on the Trans. W&amp;S Allocation Factor</t>
  </si>
  <si>
    <t>General + Intangible Plant:</t>
  </si>
  <si>
    <t>Distribution</t>
  </si>
  <si>
    <t>Transmission</t>
  </si>
  <si>
    <t>G + I Depreciation Reserve</t>
  </si>
  <si>
    <t>General + Intangible Plant Depreciation Reserve</t>
  </si>
  <si>
    <t>Transmission Wages and Salaries AF:</t>
  </si>
  <si>
    <t>Upon Commission approval of recovery of abandoned plant costs for a specific project or projects, SCE will</t>
  </si>
  <si>
    <t>Abandoned Plant Amortization Expense:</t>
  </si>
  <si>
    <t>Abandoned Plant</t>
  </si>
  <si>
    <t>Abandoned Plant (EOY):</t>
  </si>
  <si>
    <t>Abandoned Plant (BOY/EOY Average):</t>
  </si>
  <si>
    <t>Initially Abandoned Plant Amortization Expense and Abandoned Plant are both zero.</t>
  </si>
  <si>
    <t>complete this worksheet in accordance with that Order.</t>
  </si>
  <si>
    <t>General Plant + Electric Miscellaneous Intangible Plant</t>
  </si>
  <si>
    <t>Incremental Forecast Period TRR</t>
  </si>
  <si>
    <t xml:space="preserve">Line </t>
  </si>
  <si>
    <t>1) Transmission Plant - ISO</t>
  </si>
  <si>
    <t>2) Distribution Plant - ISO</t>
  </si>
  <si>
    <t>Average value:</t>
  </si>
  <si>
    <t>Expense</t>
  </si>
  <si>
    <t>Forecast Gross Load:</t>
  </si>
  <si>
    <t>Sum of above</t>
  </si>
  <si>
    <t>per kW</t>
  </si>
  <si>
    <t>1) Transmission Depreciation Reserve - ISO</t>
  </si>
  <si>
    <t xml:space="preserve"> </t>
  </si>
  <si>
    <t>Line</t>
  </si>
  <si>
    <t>Income Tax Adjustment to the TRR:</t>
  </si>
  <si>
    <t>Wholesale South Georgia</t>
  </si>
  <si>
    <t>Transmission Plant - ISO</t>
  </si>
  <si>
    <t>Distribution Plant - ISO</t>
  </si>
  <si>
    <t>SCE Retail Sales at ISO Grid level:</t>
  </si>
  <si>
    <t>Pump Load forecast:</t>
  </si>
  <si>
    <t>1) Tehachapi</t>
  </si>
  <si>
    <t>2) Devers-Colorado River</t>
  </si>
  <si>
    <t>1) Forecast Plant Additions * AFCR</t>
  </si>
  <si>
    <t>2) Forecast Period Incremental CWIP * AFCR for CWIP</t>
  </si>
  <si>
    <t>Devers to</t>
  </si>
  <si>
    <t>Colorado River</t>
  </si>
  <si>
    <t>Col 2</t>
  </si>
  <si>
    <t>Col 3</t>
  </si>
  <si>
    <t>Col 4</t>
  </si>
  <si>
    <t>Col 5</t>
  </si>
  <si>
    <t>Col 6</t>
  </si>
  <si>
    <t>Col 7</t>
  </si>
  <si>
    <t>Yellow shaded cells are Input Data</t>
  </si>
  <si>
    <t>2) Calculation of IFP TRR</t>
  </si>
  <si>
    <t>AFCR * Forecast Plant Additions:</t>
  </si>
  <si>
    <t>AFCRCWIP:</t>
  </si>
  <si>
    <t>AFCRCWIP * FP Incremental CWIP:</t>
  </si>
  <si>
    <t>Forecast Period Incremental CWIP:</t>
  </si>
  <si>
    <t>Incremental Forecast Period TRR:</t>
  </si>
  <si>
    <t xml:space="preserve">Transmission Incentive Project plant balances and CWIP Plant may affect the following: </t>
  </si>
  <si>
    <t>Other</t>
  </si>
  <si>
    <t>Gains and Losses on Transmission Plant Held for Future Use -- Land</t>
  </si>
  <si>
    <t>Col 1</t>
  </si>
  <si>
    <t>Note 1</t>
  </si>
  <si>
    <t>Note 2</t>
  </si>
  <si>
    <t>Depreciation Expense for Distribution Plant - ISO</t>
  </si>
  <si>
    <t>Other Regulatory Assets/Liabilities</t>
  </si>
  <si>
    <t>where:</t>
  </si>
  <si>
    <t>CSCP = Common Stock Capital Percentage</t>
  </si>
  <si>
    <t>Above formula</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</si>
  <si>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</si>
  <si>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</si>
  <si>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</si>
  <si>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Calculation of SCE Retail Transmission Rates</t>
  </si>
  <si>
    <t>Abandoned</t>
  </si>
  <si>
    <t>Plant</t>
  </si>
  <si>
    <t>Amort.</t>
  </si>
  <si>
    <t xml:space="preserve">Abandoned Plant Amortization Expense for each project represents the annual amortization of abandoned costs </t>
  </si>
  <si>
    <t>that the Order approves as an annual expense.</t>
  </si>
  <si>
    <t>Abandoned Plant for each project represents the amount of costs that the Order approves for inclusion in Rate Base.</t>
  </si>
  <si>
    <t xml:space="preserve">Amount for </t>
  </si>
  <si>
    <t>Instructions:</t>
  </si>
  <si>
    <t>1) Upon Commission approval of recovery of abandoned plant costs for a project:</t>
  </si>
  <si>
    <t>Abandoned Plant (BOY):</t>
  </si>
  <si>
    <t>BOY</t>
  </si>
  <si>
    <t>c) Sum project-specific amounts for each project and enter in lines 1, 2, and 3 for the Prior Year at issue.</t>
  </si>
  <si>
    <t>2) Add additional projects if necessary in same format.</t>
  </si>
  <si>
    <t>Abandoned Plant Amortization Expense amounts in Accordance with the Order.</t>
  </si>
  <si>
    <t>If table can not be filled out completely, fill out at least through the Prior Year at issue.</t>
  </si>
  <si>
    <t>Sum of projects below for PY.</t>
  </si>
  <si>
    <t>intended to be placed under the Operational Control of the ISO, plus an allocated amount of any General</t>
  </si>
  <si>
    <t>FF1 page 214</t>
  </si>
  <si>
    <t>End of Year Balance</t>
  </si>
  <si>
    <t>Beginning of Year Balance</t>
  </si>
  <si>
    <t>General Plant Held for Future Use</t>
  </si>
  <si>
    <t>Electric Plant Held for Future Use, with the allocation factor being the Transmission Wages and Salaries AF.</t>
  </si>
  <si>
    <t>1) For any Electric Plant Held for Future Use intended to be placed under the Operational Control of the ISO,</t>
  </si>
  <si>
    <t>Operational Control of the ISO.</t>
  </si>
  <si>
    <t>Plant intended to be placed under the Operational Control of the ISO:</t>
  </si>
  <si>
    <t>All other Electric Plant Held for Future Use not intended to be placed under the Operational Control of the ISO:</t>
  </si>
  <si>
    <t>of Plant</t>
  </si>
  <si>
    <t>Type</t>
  </si>
  <si>
    <t>Portion for Transmission PHFU:</t>
  </si>
  <si>
    <t>Transmission PHFU:</t>
  </si>
  <si>
    <t>Total Electric PHFU</t>
  </si>
  <si>
    <t>Average of BOY and EOY</t>
  </si>
  <si>
    <t>Prior</t>
  </si>
  <si>
    <t>Income Tax</t>
  </si>
  <si>
    <t>Rate ("CSITR")</t>
  </si>
  <si>
    <t>Rate ("FITR")</t>
  </si>
  <si>
    <t>The IFP TRR is equal to the sum of:</t>
  </si>
  <si>
    <t>approval received subsequent to an SCE Section 205 filing requesting such treatment.</t>
  </si>
  <si>
    <t xml:space="preserve">SCE shall include a non-zero amount of Other Regulatory Assets/Liabilities only with Commission </t>
  </si>
  <si>
    <t>Other Regulatory Assets/Liabilities (EOY):</t>
  </si>
  <si>
    <t>Description of Issue</t>
  </si>
  <si>
    <t>Resulting in Other Regulatory</t>
  </si>
  <si>
    <t>Asset/Liability</t>
  </si>
  <si>
    <t>Other Reg</t>
  </si>
  <si>
    <t>Regulatory</t>
  </si>
  <si>
    <t>costs through this formula transmission rate:</t>
  </si>
  <si>
    <t>2) Add additional lines as necessary for additional issues.</t>
  </si>
  <si>
    <t>Total Substation</t>
  </si>
  <si>
    <t>Land</t>
  </si>
  <si>
    <t>Total Substation and Land</t>
  </si>
  <si>
    <t>Lines</t>
  </si>
  <si>
    <t>Total Lines</t>
  </si>
  <si>
    <t>Substation</t>
  </si>
  <si>
    <t>Land:</t>
  </si>
  <si>
    <t>Structures:</t>
  </si>
  <si>
    <t>Total Structures</t>
  </si>
  <si>
    <t>Transmission Plant Study</t>
  </si>
  <si>
    <t>ISO</t>
  </si>
  <si>
    <t>ISO %</t>
  </si>
  <si>
    <t>of Total</t>
  </si>
  <si>
    <t>B) Plant Classified as Distribution in  FERC Form 1:</t>
  </si>
  <si>
    <t>Total Transmission</t>
  </si>
  <si>
    <t>Data Source</t>
  </si>
  <si>
    <t>FF1 207.49g</t>
  </si>
  <si>
    <t>FF1 207.50g</t>
  </si>
  <si>
    <t>FF1 207.48g</t>
  </si>
  <si>
    <t>FF1 207.51g</t>
  </si>
  <si>
    <t>FF1 207.52g</t>
  </si>
  <si>
    <t>FF1 207.53g</t>
  </si>
  <si>
    <t>FF1 207.54g</t>
  </si>
  <si>
    <t>FF1 207.55g</t>
  </si>
  <si>
    <t>FF1 207.56g</t>
  </si>
  <si>
    <t>FF1 207.60g</t>
  </si>
  <si>
    <t>FF1 207.61g</t>
  </si>
  <si>
    <t>FF1 207.62g</t>
  </si>
  <si>
    <t>1) Total transmission does not include account 359.1 "Asset Retirement Costs for Transmission Plant"</t>
  </si>
  <si>
    <t>Input cells are shaded yellow</t>
  </si>
  <si>
    <t>less FF1 207.57g (Asset Retirement Costs for Transmission Plant).</t>
  </si>
  <si>
    <t>1) Perform annual Transmission Study pursuant to instructions in tariff.</t>
  </si>
  <si>
    <t>2) Only accounts 360-362 included as there is no ISO plant in any other Distribution accounts.</t>
  </si>
  <si>
    <t>Total on this line is also equal to FF1 207.58g (Total Transmission Plant)</t>
  </si>
  <si>
    <t>Structures</t>
  </si>
  <si>
    <t>Substations:</t>
  </si>
  <si>
    <t>Total Lines and Substations</t>
  </si>
  <si>
    <t>Derivation of High Voltage and Low Voltage Gross Plant Percentages</t>
  </si>
  <si>
    <t>LV Transmission Lines</t>
  </si>
  <si>
    <t>Total ISO</t>
  </si>
  <si>
    <t>Gross Plant</t>
  </si>
  <si>
    <t>HV Land</t>
  </si>
  <si>
    <t>LV Land</t>
  </si>
  <si>
    <t>Transformers</t>
  </si>
  <si>
    <t>Classification of Facility:</t>
  </si>
  <si>
    <t>HV Substations (&gt;= 200 kV)</t>
  </si>
  <si>
    <t>Lines:</t>
  </si>
  <si>
    <t>Determination of HV and LV Gross Plant Percentages for ISO Transmission Plant in accordance with ISO Tariff Appendix F, Schedule 3, Section 12.</t>
  </si>
  <si>
    <t>Voltage</t>
  </si>
  <si>
    <t>High</t>
  </si>
  <si>
    <t>Low</t>
  </si>
  <si>
    <t>Gross Plant Percentages (Prior Year):</t>
  </si>
  <si>
    <t>Total Determined HV/LV:</t>
  </si>
  <si>
    <t>Straddling Transformers</t>
  </si>
  <si>
    <t>From above Line 12</t>
  </si>
  <si>
    <t>Sum of lines 18 and 19</t>
  </si>
  <si>
    <t>Percent of Total</t>
  </si>
  <si>
    <t>Total HV and LV Gross Plant for Prior Year</t>
  </si>
  <si>
    <t>A) Total ISO Plant from Prior Year</t>
  </si>
  <si>
    <t>FERC Form 1</t>
  </si>
  <si>
    <t>Total Amount Excluded</t>
  </si>
  <si>
    <t>Shareholder</t>
  </si>
  <si>
    <t>Franchise</t>
  </si>
  <si>
    <t>Requirements</t>
  </si>
  <si>
    <t>PBOPs</t>
  </si>
  <si>
    <t>Prior Year FF1 PBOPs expense:</t>
  </si>
  <si>
    <t>Note 1: Itemization of exclusions</t>
  </si>
  <si>
    <t>PBOPs Expense Exclusion:</t>
  </si>
  <si>
    <t>Note 3: PBOPs Exclusion Calculation</t>
  </si>
  <si>
    <t>through the Franchise Fees Expense item.</t>
  </si>
  <si>
    <t>See instruction #4</t>
  </si>
  <si>
    <t>1) Summary of True Up Adjustment calculation:</t>
  </si>
  <si>
    <t>4) True Up Adjustment</t>
  </si>
  <si>
    <t>IREF =</t>
  </si>
  <si>
    <t>Multiplicative factor for each project is the ratio of its ROE adder to 1%.</t>
  </si>
  <si>
    <t>IREF, the Multiplicative Factor, and the million $ of Prior Year Incentive Rate Base.</t>
  </si>
  <si>
    <t>2) Sum project-specific Incentive Adders to yield the total Prior Year Incentive Adder.</t>
  </si>
  <si>
    <t>Transmission Plant Held for Future Use shall be amounts of Electric Plant Held for Future Use (account 105)</t>
  </si>
  <si>
    <t>Gain or Loss on Transmission Plant Held for Future Use --- Land</t>
  </si>
  <si>
    <t>Calculation of Gain or Loss on Transmission Plant Held for Future Use -- Land</t>
  </si>
  <si>
    <t>3) FF and U Factors</t>
  </si>
  <si>
    <t>1) Approved Franchise Fee Factor(s)</t>
  </si>
  <si>
    <t>Sum of Column 2 below</t>
  </si>
  <si>
    <t>a) Fill in Description for issue in above table.</t>
  </si>
  <si>
    <t>b) Enter costs in columns 1-3 in above table for the applicable Prior Year.</t>
  </si>
  <si>
    <t>Actual</t>
  </si>
  <si>
    <t>First Project:</t>
  </si>
  <si>
    <t>Fill in Name</t>
  </si>
  <si>
    <t>…</t>
  </si>
  <si>
    <t>2nd Project:</t>
  </si>
  <si>
    <t>(BOY value is EOY value from previous year)</t>
  </si>
  <si>
    <t>2a</t>
  </si>
  <si>
    <t>2b</t>
  </si>
  <si>
    <t>2c</t>
  </si>
  <si>
    <t>2d</t>
  </si>
  <si>
    <t>2e</t>
  </si>
  <si>
    <t>2f</t>
  </si>
  <si>
    <t>2g</t>
  </si>
  <si>
    <t>2h</t>
  </si>
  <si>
    <t>BOY amount will be EOY value from previous year FERC Form 1, EOY amount will be in current year FF1.</t>
  </si>
  <si>
    <t>Sum of above lines</t>
  </si>
  <si>
    <t>Generation</t>
  </si>
  <si>
    <t>Public</t>
  </si>
  <si>
    <t>Purpose</t>
  </si>
  <si>
    <t>Retail Base</t>
  </si>
  <si>
    <t>"Total Sales to Ultimate Consumers" from FERC Form 1 Page 300, Line 10, Column b:</t>
  </si>
  <si>
    <t>See Note 6</t>
  </si>
  <si>
    <t>See Note 7</t>
  </si>
  <si>
    <t>= C2 - C3 + C 4</t>
  </si>
  <si>
    <t>Any other Base Transmission Revenue or refunds  is included in "Other".</t>
  </si>
  <si>
    <t>Sum of left</t>
  </si>
  <si>
    <t>1) If additional projects receive ROE adders, add to end of lists, and include in calculation</t>
  </si>
  <si>
    <t>of each Incentive Adder.</t>
  </si>
  <si>
    <t xml:space="preserve">Prior </t>
  </si>
  <si>
    <t>Rancho</t>
  </si>
  <si>
    <t>Vista</t>
  </si>
  <si>
    <t xml:space="preserve">Total TIP </t>
  </si>
  <si>
    <t xml:space="preserve">Net Plant </t>
  </si>
  <si>
    <t xml:space="preserve">Prior Year CWIP and Forecast Period Incremental CWIP by Project </t>
  </si>
  <si>
    <t>Col 8</t>
  </si>
  <si>
    <t>Total CWIP</t>
  </si>
  <si>
    <t>13 Month Averages:</t>
  </si>
  <si>
    <t>to include CWIP in Rate Base.</t>
  </si>
  <si>
    <t>Red Bluff</t>
  </si>
  <si>
    <t>3) Devers-Colorado R</t>
  </si>
  <si>
    <t>columns</t>
  </si>
  <si>
    <t>or Other</t>
  </si>
  <si>
    <t>Exclusions</t>
  </si>
  <si>
    <t>2) The Incremental Forecast Period TRR is the component of Base TRR associated with forecast additions to in-service</t>
  </si>
  <si>
    <t>These components represent the following costs that SCE incurs:</t>
  </si>
  <si>
    <t>the municipality.</t>
  </si>
  <si>
    <t xml:space="preserve">1) Franchise Fees represent payments that SCE makes to municipal entities for the right to locate facilities within </t>
  </si>
  <si>
    <t>FF1 227.12c</t>
  </si>
  <si>
    <t>FF1 227.12b</t>
  </si>
  <si>
    <t xml:space="preserve">Materials and Supplies is the amount of  total Account 154 Materials and Supplies </t>
  </si>
  <si>
    <t>times the Transmission Wages and Salaries AF</t>
  </si>
  <si>
    <t>A</t>
  </si>
  <si>
    <t>B</t>
  </si>
  <si>
    <t>C</t>
  </si>
  <si>
    <t>D</t>
  </si>
  <si>
    <t>E</t>
  </si>
  <si>
    <t>F</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</si>
  <si>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</si>
  <si>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</si>
  <si>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</si>
  <si>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</si>
  <si>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</si>
  <si>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</si>
  <si>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</si>
  <si>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</si>
  <si>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</si>
  <si>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</si>
  <si>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</si>
  <si>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</si>
  <si>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</si>
  <si>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</si>
  <si>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</si>
  <si>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</si>
  <si>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</si>
  <si>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</si>
  <si>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</si>
  <si>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</si>
  <si>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4191110</t>
  </si>
  <si>
    <t>1b</t>
  </si>
  <si>
    <t>4191115</t>
  </si>
  <si>
    <t>Residential Late Payment</t>
  </si>
  <si>
    <t>1c</t>
  </si>
  <si>
    <t>450 Total</t>
  </si>
  <si>
    <t>4a</t>
  </si>
  <si>
    <t>4182110</t>
  </si>
  <si>
    <t>Recover Unauthorized Use/Non-Energy</t>
  </si>
  <si>
    <t>4b</t>
  </si>
  <si>
    <t>4182115</t>
  </si>
  <si>
    <t>Miscellaneous Service Revenue - Ownership Cost</t>
  </si>
  <si>
    <t>4c</t>
  </si>
  <si>
    <t>4192110</t>
  </si>
  <si>
    <t>Miscellaneous Service Revenues</t>
  </si>
  <si>
    <t>4d</t>
  </si>
  <si>
    <t>4192115</t>
  </si>
  <si>
    <t>Returned Check Charges</t>
  </si>
  <si>
    <t>4e</t>
  </si>
  <si>
    <t>4192125</t>
  </si>
  <si>
    <t>Service Reconnection Charges</t>
  </si>
  <si>
    <t>4f</t>
  </si>
  <si>
    <t>4192130</t>
  </si>
  <si>
    <t>Service Establishment Charge</t>
  </si>
  <si>
    <t>4g</t>
  </si>
  <si>
    <t>4192140</t>
  </si>
  <si>
    <t>Field Collection Charges</t>
  </si>
  <si>
    <t>4h</t>
  </si>
  <si>
    <t>4192510</t>
  </si>
  <si>
    <t>Quickcheck Revenue</t>
  </si>
  <si>
    <t>P</t>
  </si>
  <si>
    <t>4i</t>
  </si>
  <si>
    <t>4192910</t>
  </si>
  <si>
    <t>PUC Reimbursement Fee-Elect</t>
  </si>
  <si>
    <t>451 Total</t>
  </si>
  <si>
    <t>453 Total</t>
  </si>
  <si>
    <t>10a</t>
  </si>
  <si>
    <t>10b</t>
  </si>
  <si>
    <t>10c</t>
  </si>
  <si>
    <t>10d</t>
  </si>
  <si>
    <t>4184110</t>
  </si>
  <si>
    <t>Joint Pole - Tariffed Conduit Rental</t>
  </si>
  <si>
    <t>10e</t>
  </si>
  <si>
    <t>4184112</t>
  </si>
  <si>
    <t>Joint Pole - Tariffed Pole Rental - Cable Cos.</t>
  </si>
  <si>
    <t>10f</t>
  </si>
  <si>
    <t>4184114</t>
  </si>
  <si>
    <t>Joint Pole - Tariffed Process &amp; Eng Fees - Cable</t>
  </si>
  <si>
    <t>10g</t>
  </si>
  <si>
    <t>10h</t>
  </si>
  <si>
    <t>10i</t>
  </si>
  <si>
    <t>4184510</t>
  </si>
  <si>
    <t>Joint Pole - Non-Tariffed Pole Rental</t>
  </si>
  <si>
    <t>10j</t>
  </si>
  <si>
    <t>4184512</t>
  </si>
  <si>
    <t>Joint Pole - Non-Tariff Process &amp; Engineering Fees</t>
  </si>
  <si>
    <t>10k</t>
  </si>
  <si>
    <t>4184514</t>
  </si>
  <si>
    <t>Joint Pole - Non-Tariff Requests for Information</t>
  </si>
  <si>
    <t>10l</t>
  </si>
  <si>
    <t>4184516</t>
  </si>
  <si>
    <t>Oil And Gas Royalties</t>
  </si>
  <si>
    <t>10m</t>
  </si>
  <si>
    <t>4184518</t>
  </si>
  <si>
    <t>10n</t>
  </si>
  <si>
    <t>4184810</t>
  </si>
  <si>
    <t>Facility Cost -EIX/Nonutility</t>
  </si>
  <si>
    <t>6, 12</t>
  </si>
  <si>
    <t>10o</t>
  </si>
  <si>
    <t>4184815</t>
  </si>
  <si>
    <t>Facility Cost- Utility</t>
  </si>
  <si>
    <t>10p</t>
  </si>
  <si>
    <t>4184820</t>
  </si>
  <si>
    <t>Rent Billed to Non-Utility Affiliates</t>
  </si>
  <si>
    <t>10q</t>
  </si>
  <si>
    <t>4184825</t>
  </si>
  <si>
    <t>Rent Billed to Utility Affiliates</t>
  </si>
  <si>
    <t>10r</t>
  </si>
  <si>
    <t>4194110</t>
  </si>
  <si>
    <t>Meter Leasing Revenue</t>
  </si>
  <si>
    <t>10s</t>
  </si>
  <si>
    <t>4194115</t>
  </si>
  <si>
    <t>Company Financed Added Facilities</t>
  </si>
  <si>
    <t>10t</t>
  </si>
  <si>
    <t>4194120</t>
  </si>
  <si>
    <t>Company Financed Interconnect Facilities</t>
  </si>
  <si>
    <t>10u</t>
  </si>
  <si>
    <t>4194130</t>
  </si>
  <si>
    <t>SCE Financed Added Faclty</t>
  </si>
  <si>
    <t>10v</t>
  </si>
  <si>
    <t>4194135</t>
  </si>
  <si>
    <t>Interconnect Facility Finance Charge</t>
  </si>
  <si>
    <t>10w</t>
  </si>
  <si>
    <t>4204515</t>
  </si>
  <si>
    <t>Operating Land &amp; Facilities Rent Revenue</t>
  </si>
  <si>
    <t>4867020</t>
  </si>
  <si>
    <t>Nonoperating Misc Land &amp; Facilities Rent</t>
  </si>
  <si>
    <t>454 Total</t>
  </si>
  <si>
    <t>12a</t>
  </si>
  <si>
    <t>12b</t>
  </si>
  <si>
    <t>12c</t>
  </si>
  <si>
    <t>12d</t>
  </si>
  <si>
    <t>4186114</t>
  </si>
  <si>
    <t>Energy Related Services</t>
  </si>
  <si>
    <t>4186118</t>
  </si>
  <si>
    <t>Distribution Miscellaneous Electric Revenues</t>
  </si>
  <si>
    <t>4186120</t>
  </si>
  <si>
    <t>Added Facilities - One Time Charge</t>
  </si>
  <si>
    <t>12e</t>
  </si>
  <si>
    <t>4186122</t>
  </si>
  <si>
    <t>Building Rental - Nev Power/Mohave Cr</t>
  </si>
  <si>
    <t>12f</t>
  </si>
  <si>
    <t>4186126</t>
  </si>
  <si>
    <t>Service Fee - Optimal Bill Prd</t>
  </si>
  <si>
    <t>12g</t>
  </si>
  <si>
    <t>4186128</t>
  </si>
  <si>
    <t>Miscellaneous Revenues</t>
  </si>
  <si>
    <t>12h</t>
  </si>
  <si>
    <t>4186130</t>
  </si>
  <si>
    <t>Tule Power Plant - Revenue</t>
  </si>
  <si>
    <t>12i</t>
  </si>
  <si>
    <t>4186150</t>
  </si>
  <si>
    <t>Utility Subs Labor Markup</t>
  </si>
  <si>
    <t>12j</t>
  </si>
  <si>
    <t>4186155</t>
  </si>
  <si>
    <t>Non Utility Subs Labor Markup</t>
  </si>
  <si>
    <t>12k</t>
  </si>
  <si>
    <t>4186162</t>
  </si>
  <si>
    <t>Reliant Eng FSA Ann Pymnt-Mandalay</t>
  </si>
  <si>
    <t>12l</t>
  </si>
  <si>
    <t>4186164</t>
  </si>
  <si>
    <t>Reliant Eng FSA Ann Pymnt-Ormond Beach</t>
  </si>
  <si>
    <t>12m</t>
  </si>
  <si>
    <t>4186166</t>
  </si>
  <si>
    <t>Reliant Eng FSA Ann Pymnt-Etiwanda</t>
  </si>
  <si>
    <t>12n</t>
  </si>
  <si>
    <t>4186168</t>
  </si>
  <si>
    <t>Reliant Eng FSA Ann Pymnt-Ellwood</t>
  </si>
  <si>
    <t>12o</t>
  </si>
  <si>
    <t>4186170</t>
  </si>
  <si>
    <t>Reliant Eng FSA Ann Pymnt-Coolwater</t>
  </si>
  <si>
    <t>12p</t>
  </si>
  <si>
    <t>4186194</t>
  </si>
  <si>
    <t>Property License Fee revenue</t>
  </si>
  <si>
    <t>12q</t>
  </si>
  <si>
    <t>4186512</t>
  </si>
  <si>
    <t>Revenue From Recreation, Fish &amp; Wildlife</t>
  </si>
  <si>
    <t>12r</t>
  </si>
  <si>
    <t>4186514</t>
  </si>
  <si>
    <t>Mapping Services</t>
  </si>
  <si>
    <t>12s</t>
  </si>
  <si>
    <t>4186518</t>
  </si>
  <si>
    <t>Enhanced Pump Test Revenue</t>
  </si>
  <si>
    <t>12t</t>
  </si>
  <si>
    <t>12u</t>
  </si>
  <si>
    <t>4186524</t>
  </si>
  <si>
    <t>Revenue From Scrap Paper - General Office</t>
  </si>
  <si>
    <t>12v</t>
  </si>
  <si>
    <t>4186528</t>
  </si>
  <si>
    <t>CTAC Revenues</t>
  </si>
  <si>
    <t>12w</t>
  </si>
  <si>
    <t>4186530</t>
  </si>
  <si>
    <t>AGTAC Revenues</t>
  </si>
  <si>
    <t>4186716</t>
  </si>
  <si>
    <t>ADT Vendor Service Revenue</t>
  </si>
  <si>
    <t>12aa</t>
  </si>
  <si>
    <t>4186718</t>
  </si>
  <si>
    <t>Read Water Meters - Irvine Ranch</t>
  </si>
  <si>
    <t>12bb</t>
  </si>
  <si>
    <t>4186720</t>
  </si>
  <si>
    <t>Read Water Meters - Rancho California</t>
  </si>
  <si>
    <t>12cc</t>
  </si>
  <si>
    <t>4186722</t>
  </si>
  <si>
    <t>Read Water Meters - Long Beach</t>
  </si>
  <si>
    <t>12dd</t>
  </si>
  <si>
    <t>4186730</t>
  </si>
  <si>
    <t>SSID Transformer Repair Services Revenue</t>
  </si>
  <si>
    <t>12ee</t>
  </si>
  <si>
    <t>4186815</t>
  </si>
  <si>
    <t>Employee Transfer/Affiliate Fee</t>
  </si>
  <si>
    <t>12ff</t>
  </si>
  <si>
    <t>4186910</t>
  </si>
  <si>
    <t>ITCC/CIAC Revenues</t>
  </si>
  <si>
    <t>12gg</t>
  </si>
  <si>
    <t>4186912</t>
  </si>
  <si>
    <t>12hh</t>
  </si>
  <si>
    <t>4186914</t>
  </si>
  <si>
    <t>12ii</t>
  </si>
  <si>
    <t>4186916</t>
  </si>
  <si>
    <t>Offset to Revenue from NDT Earnings/Realized</t>
  </si>
  <si>
    <t>12jj</t>
  </si>
  <si>
    <t>4186918</t>
  </si>
  <si>
    <t>Offset to Revenue from FAS 115 FMV</t>
  </si>
  <si>
    <t>12kk</t>
  </si>
  <si>
    <t>4186920</t>
  </si>
  <si>
    <t>12ll</t>
  </si>
  <si>
    <t>4186922</t>
  </si>
  <si>
    <t>Offset to Revenue from FAS 115-1 Gains &amp; Loss</t>
  </si>
  <si>
    <t>12mm</t>
  </si>
  <si>
    <t>4188712</t>
  </si>
  <si>
    <t>Power Supply Installations - IMS</t>
  </si>
  <si>
    <t>12nn</t>
  </si>
  <si>
    <t>4188714</t>
  </si>
  <si>
    <t>Consulting Fees - IMS</t>
  </si>
  <si>
    <t>12oo</t>
  </si>
  <si>
    <t>12pp</t>
  </si>
  <si>
    <t>4196105</t>
  </si>
  <si>
    <t>DA Revenue</t>
  </si>
  <si>
    <t>12qq</t>
  </si>
  <si>
    <t>12rr</t>
  </si>
  <si>
    <t>4196158</t>
  </si>
  <si>
    <t>EDBL Customer Finance Added Facilities</t>
  </si>
  <si>
    <t>12ss</t>
  </si>
  <si>
    <t>4196162</t>
  </si>
  <si>
    <t>SCE Energy Manager Fee Based Services</t>
  </si>
  <si>
    <t>12tt</t>
  </si>
  <si>
    <t>4196166</t>
  </si>
  <si>
    <t>SCE Energy Manager Fee Based Services Adj</t>
  </si>
  <si>
    <t>12uu</t>
  </si>
  <si>
    <t>4196172</t>
  </si>
  <si>
    <t>Off Grid Photo Voltaic Revenues</t>
  </si>
  <si>
    <t>12vv</t>
  </si>
  <si>
    <t>4196174</t>
  </si>
  <si>
    <t>Scheduling/Dispatch Revenues</t>
  </si>
  <si>
    <t>12ww</t>
  </si>
  <si>
    <t>4196176</t>
  </si>
  <si>
    <t>Interconnect Facilities Charges-Customer Financed</t>
  </si>
  <si>
    <t>12xx</t>
  </si>
  <si>
    <t>4196178</t>
  </si>
  <si>
    <t>Interconnect Facilities Charges - SCE Financed</t>
  </si>
  <si>
    <t>12yy</t>
  </si>
  <si>
    <t>4196184</t>
  </si>
  <si>
    <t>DMS Service Fees</t>
  </si>
  <si>
    <t>12zz</t>
  </si>
  <si>
    <t>4196188</t>
  </si>
  <si>
    <t>CCA - Information Fees</t>
  </si>
  <si>
    <t>456 Total</t>
  </si>
  <si>
    <t>15a</t>
  </si>
  <si>
    <t>4188112</t>
  </si>
  <si>
    <t>Trans of Elec of Others - Pasadena</t>
  </si>
  <si>
    <t>15b</t>
  </si>
  <si>
    <t>4188114</t>
  </si>
  <si>
    <t>FTS PPU/Non-ISO</t>
  </si>
  <si>
    <t>15c</t>
  </si>
  <si>
    <t>4188116</t>
  </si>
  <si>
    <t>FTS Non-PPU/Non-ISO</t>
  </si>
  <si>
    <t>15d</t>
  </si>
  <si>
    <t>4188812</t>
  </si>
  <si>
    <t>ISO-Wheeling Revenue - Low Voltage</t>
  </si>
  <si>
    <t>15e</t>
  </si>
  <si>
    <t>4188814</t>
  </si>
  <si>
    <t>ISO-Wheeling Revenue - High Voltage</t>
  </si>
  <si>
    <t>15f</t>
  </si>
  <si>
    <t>4188816</t>
  </si>
  <si>
    <t>ISO-Congestion Revenue</t>
  </si>
  <si>
    <t>15g</t>
  </si>
  <si>
    <t>4198110</t>
  </si>
  <si>
    <t>Transmission of Elec of Others</t>
  </si>
  <si>
    <t>15h</t>
  </si>
  <si>
    <t>4198112</t>
  </si>
  <si>
    <t>WDAT</t>
  </si>
  <si>
    <t>15i</t>
  </si>
  <si>
    <t>4198114</t>
  </si>
  <si>
    <t>Radial Line Rev-Base Cost - Reliant Coolwater</t>
  </si>
  <si>
    <t>15j</t>
  </si>
  <si>
    <t>15k</t>
  </si>
  <si>
    <t>4198116</t>
  </si>
  <si>
    <t>Radial Line Rev-Base Cost - Reliant Ormond Beach</t>
  </si>
  <si>
    <t>15l</t>
  </si>
  <si>
    <t>4198118</t>
  </si>
  <si>
    <t>Radial Line Rev-O&amp;M - AES Huntington Beach</t>
  </si>
  <si>
    <t>15m</t>
  </si>
  <si>
    <t>4198120</t>
  </si>
  <si>
    <t>Radial Line Rev-O&amp;M - Reliant Mandalay</t>
  </si>
  <si>
    <t>15n</t>
  </si>
  <si>
    <t>4198122</t>
  </si>
  <si>
    <t>Radial Line Rev-O&amp;M - Reliant Coolwater</t>
  </si>
  <si>
    <t>15o</t>
  </si>
  <si>
    <t>4198124</t>
  </si>
  <si>
    <t>Radial Line Rev-O&amp;M - Ormond Beach</t>
  </si>
  <si>
    <t>15p</t>
  </si>
  <si>
    <t>4198126</t>
  </si>
  <si>
    <t>High Desert Tie-Line Rental Rev</t>
  </si>
  <si>
    <t>15q</t>
  </si>
  <si>
    <t>15r</t>
  </si>
  <si>
    <t>4198130</t>
  </si>
  <si>
    <t>Inland Empire CRT Tie-Line EX</t>
  </si>
  <si>
    <t>15s</t>
  </si>
  <si>
    <t>4198910</t>
  </si>
  <si>
    <t>Reliability Service Revenue - Non-PTO's</t>
  </si>
  <si>
    <t>456.1 Total</t>
  </si>
  <si>
    <t>18a</t>
  </si>
  <si>
    <t>457.1 Total</t>
  </si>
  <si>
    <t>21a</t>
  </si>
  <si>
    <t>457.2 Total</t>
  </si>
  <si>
    <t>Edison Carrier Solutions (ECS)</t>
  </si>
  <si>
    <t>24a</t>
  </si>
  <si>
    <t>24b</t>
  </si>
  <si>
    <t>ECS - Distribution Facilities</t>
  </si>
  <si>
    <t>24c</t>
  </si>
  <si>
    <t>ECS - Dark Fiber</t>
  </si>
  <si>
    <t>24d</t>
  </si>
  <si>
    <t>ECS - SCE Net Fiber</t>
  </si>
  <si>
    <t>24e</t>
  </si>
  <si>
    <t>ECS - Transmission Right of Way</t>
  </si>
  <si>
    <t>24f</t>
  </si>
  <si>
    <t>ECS - Wholesale FCC</t>
  </si>
  <si>
    <t>24g</t>
  </si>
  <si>
    <t>24h</t>
  </si>
  <si>
    <t>ECS - EU FCC Rev</t>
  </si>
  <si>
    <t>24i</t>
  </si>
  <si>
    <t>ECS - Cell Site Rent and Use (Active)</t>
  </si>
  <si>
    <t>24j</t>
  </si>
  <si>
    <t>ECS - Cell Site Reimbursable (Active)</t>
  </si>
  <si>
    <t>24k</t>
  </si>
  <si>
    <t>ECS - Communication Sites</t>
  </si>
  <si>
    <t>24l</t>
  </si>
  <si>
    <t>ECS - Cell Site Rent and Use (Passive)</t>
  </si>
  <si>
    <t>24m</t>
  </si>
  <si>
    <t>ECS - Cell Site Reimbursable (Passive)</t>
  </si>
  <si>
    <t>24n</t>
  </si>
  <si>
    <t>ECS - Micro Cell</t>
  </si>
  <si>
    <t>24o</t>
  </si>
  <si>
    <t>ECS - End User Universal Service Fund Fee</t>
  </si>
  <si>
    <t>417 ECS Total</t>
  </si>
  <si>
    <t>417 Other</t>
  </si>
  <si>
    <t>Subsidiaries</t>
  </si>
  <si>
    <t>28a</t>
  </si>
  <si>
    <t>ESI (Gross Revenues - Active)</t>
  </si>
  <si>
    <t>2,9</t>
  </si>
  <si>
    <t>28b</t>
  </si>
  <si>
    <t>ESI (Gross Revenues - Passive)</t>
  </si>
  <si>
    <t>28c</t>
  </si>
  <si>
    <t>Mono Power Company</t>
  </si>
  <si>
    <t>28d</t>
  </si>
  <si>
    <t>418.1 Subsidiaries Total</t>
  </si>
  <si>
    <t>Totals</t>
  </si>
  <si>
    <t>Ratepayers' Share of Threshold Revenue</t>
  </si>
  <si>
    <t>= Line 32K</t>
  </si>
  <si>
    <t>see Note 11</t>
  </si>
  <si>
    <t xml:space="preserve">ISO Ratepayers' Share of Threshold Revenue </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</si>
  <si>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</si>
  <si>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</si>
  <si>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</si>
  <si>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</si>
  <si>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</si>
  <si>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</si>
  <si>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</si>
  <si>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</si>
  <si>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 xml:space="preserve">ISO Ratepayers' Share of Incremental Revenue </t>
  </si>
  <si>
    <t>1-</t>
  </si>
  <si>
    <t>2-</t>
  </si>
  <si>
    <t>3-</t>
  </si>
  <si>
    <t>Generation related.</t>
  </si>
  <si>
    <t>4-</t>
  </si>
  <si>
    <t>5-</t>
  </si>
  <si>
    <t>ISO transmission system related.</t>
  </si>
  <si>
    <t>6-</t>
  </si>
  <si>
    <t>Subject to balancing account treatment</t>
  </si>
  <si>
    <t>7-</t>
  </si>
  <si>
    <t>ISO Allocator =</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</si>
  <si>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</si>
  <si>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</si>
  <si>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</si>
  <si>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</si>
  <si>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</si>
  <si>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</si>
  <si>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</si>
  <si>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12-</t>
  </si>
  <si>
    <t>13-</t>
  </si>
  <si>
    <t>14-</t>
  </si>
  <si>
    <t>Gains and Losses on Trans. Plant Held for Future Use -- Land</t>
  </si>
  <si>
    <t>Total Revenue Credits:</t>
  </si>
  <si>
    <t>Prior Year CWIP is the amount of Construction Work In Progress for projects that have received Commission approval</t>
  </si>
  <si>
    <t>Col 9</t>
  </si>
  <si>
    <t>Calculations:</t>
  </si>
  <si>
    <t>See Note 4</t>
  </si>
  <si>
    <t>See Note 5</t>
  </si>
  <si>
    <t>=C7 + C8</t>
  </si>
  <si>
    <t>Previous</t>
  </si>
  <si>
    <t>TRR</t>
  </si>
  <si>
    <t>with Interest</t>
  </si>
  <si>
    <t>Balance</t>
  </si>
  <si>
    <t>5) Final True Up Adjustment</t>
  </si>
  <si>
    <t>3) Enter monthly interest rates in accordance with interest rate specified in the regulations of FERC at</t>
  </si>
  <si>
    <t>d) Any Base Transmission Revenue not attributable to this formula.</t>
  </si>
  <si>
    <t>1) Depreciation Expense for Transmission Plant - ISO</t>
  </si>
  <si>
    <t>Col 10</t>
  </si>
  <si>
    <t>Account:</t>
  </si>
  <si>
    <t>1) Calculation of Depreciation Expense for Transmission Plant - ISO</t>
  </si>
  <si>
    <t>Col 11</t>
  </si>
  <si>
    <t>Monthly Depreciation Expense for Transmission Plant - ISO by FERC Account:</t>
  </si>
  <si>
    <t>Balances for Transmission Plant - ISO during the Prior Year, including December of previous year:</t>
  </si>
  <si>
    <t>Total Annual Depreciation Expense for Transmission Plant - ISO:</t>
  </si>
  <si>
    <t>(equals sum of monthly amounts)</t>
  </si>
  <si>
    <t>Total General Plant Depreciation Expense</t>
  </si>
  <si>
    <t>Total Intangible Plant Depreciation Expense</t>
  </si>
  <si>
    <t>FF1 336.10f</t>
  </si>
  <si>
    <t>FF1 336.1f</t>
  </si>
  <si>
    <t>Sum of Total General and Total Intangible Depreciation Expense</t>
  </si>
  <si>
    <t>General and Intangible Depreciation Expense</t>
  </si>
  <si>
    <t>3) General and Intangible Depreciation Expense</t>
  </si>
  <si>
    <t>2) Depreciation Expense for Distribution Plant - ISO</t>
  </si>
  <si>
    <t>Two Incentive Adders are calculated:</t>
  </si>
  <si>
    <t>a) The Prior Year Incentive Adder is a component of the Prior Year TRR.</t>
  </si>
  <si>
    <t xml:space="preserve"> = Sum of all</t>
  </si>
  <si>
    <t>Whirlwind</t>
  </si>
  <si>
    <t>Expansion</t>
  </si>
  <si>
    <t>Col 12</t>
  </si>
  <si>
    <t xml:space="preserve">Colorado </t>
  </si>
  <si>
    <t>River</t>
  </si>
  <si>
    <t>Kramer</t>
  </si>
  <si>
    <t>South of</t>
  </si>
  <si>
    <t>West of</t>
  </si>
  <si>
    <t>Devers</t>
  </si>
  <si>
    <t>1) Enter recorded amounts of CWIP during Prior Year on Lines 1-13, 15-27 (including December of year previous to Prior Year).</t>
  </si>
  <si>
    <t>1) Summary of CWIP Plant in Prior Year and Forecast Period</t>
  </si>
  <si>
    <t>1) Rate Base in Prior Year</t>
  </si>
  <si>
    <t>Net Plant</t>
  </si>
  <si>
    <t>b) Annual Fixed Charge Rate ("AFCR")</t>
  </si>
  <si>
    <t>Net Plant:</t>
  </si>
  <si>
    <t>1) Calculation of Annual Fixed Charge Rates:</t>
  </si>
  <si>
    <t>5) Red Bluff</t>
  </si>
  <si>
    <t>6) Whirlwind Substation Exp.</t>
  </si>
  <si>
    <t>7) Colorado River Sub. Exp.</t>
  </si>
  <si>
    <t>4) Prior Year TIP Net Plant In Service</t>
  </si>
  <si>
    <t>Additions</t>
  </si>
  <si>
    <t>to Prior Year</t>
  </si>
  <si>
    <t>year previous</t>
  </si>
  <si>
    <t>←December of</t>
  </si>
  <si>
    <t>2) Calculation of Depreciation Expense for Distribution Plant - ISO</t>
  </si>
  <si>
    <t>Distribution Plant - ISO BOY</t>
  </si>
  <si>
    <t>Distribution Plant - ISO EOY</t>
  </si>
  <si>
    <t>Average BOY/EOY :</t>
  </si>
  <si>
    <t xml:space="preserve">Total is sum of Depreciation Expense for accounts </t>
  </si>
  <si>
    <t>360, 361, and 362</t>
  </si>
  <si>
    <t>3) Calculation of Depreciation Expense for General Plant and Intangible Plant</t>
  </si>
  <si>
    <t>Depreciation Expense:</t>
  </si>
  <si>
    <t>Depreciation Rates</t>
  </si>
  <si>
    <t>Less</t>
  </si>
  <si>
    <t>Removal</t>
  </si>
  <si>
    <t>Salvage</t>
  </si>
  <si>
    <t>Cost</t>
  </si>
  <si>
    <t>Fee Land</t>
  </si>
  <si>
    <t>Easements</t>
  </si>
  <si>
    <t>Structures and Improvements</t>
  </si>
  <si>
    <t>Station Equipment</t>
  </si>
  <si>
    <t>Poles and Fixtures</t>
  </si>
  <si>
    <t>Overhead Conductors and Devices</t>
  </si>
  <si>
    <t>Underground Conduit</t>
  </si>
  <si>
    <t>Underground Conductors and Devices</t>
  </si>
  <si>
    <t>Roads and Trails</t>
  </si>
  <si>
    <t>Land and Land Rights</t>
  </si>
  <si>
    <t>3) General Plant</t>
  </si>
  <si>
    <t>Office Furniture</t>
  </si>
  <si>
    <t>4) Intangible Plant</t>
  </si>
  <si>
    <t>Hydro Relicensing</t>
  </si>
  <si>
    <t>Radio Frequency</t>
  </si>
  <si>
    <t>Other Intangibles</t>
  </si>
  <si>
    <t>Cap Soft 5yr</t>
  </si>
  <si>
    <t>Cap Soft 7yr</t>
  </si>
  <si>
    <t>Cap Soft 10yr</t>
  </si>
  <si>
    <t>Cap Soft 15yr</t>
  </si>
  <si>
    <t>CLTD = Weighted Cost of Long Term Debt</t>
  </si>
  <si>
    <t>COS = Weighted Cost of Common and Preferred Stock</t>
  </si>
  <si>
    <t>AFCRCWIP =</t>
  </si>
  <si>
    <t>Composite Tax Rate:</t>
  </si>
  <si>
    <t>expressed as a percent.</t>
  </si>
  <si>
    <t>AFCR = (Prior Year TRR - CWIP-related costs) / Net Plant</t>
  </si>
  <si>
    <t>ISO Transmission Plant</t>
  </si>
  <si>
    <t>3) ISO Transmission Plant</t>
  </si>
  <si>
    <t>ISO Transmission Plant is the sum of "Transmission Plant - ISO" and "Distribution Plant - ISO"</t>
  </si>
  <si>
    <t xml:space="preserve">Transmission Depreciation Reserve - ISO </t>
  </si>
  <si>
    <t xml:space="preserve">Distribution Depreciation Reserve - ISO </t>
  </si>
  <si>
    <t>Transmission Plant - ISO:</t>
  </si>
  <si>
    <t>Distribution Plant - ISO:</t>
  </si>
  <si>
    <t>c) Compare costs in (a) to revenues in (b) on a monthly basis and determine "Cumulative Excess (-) or Shortfall (+) in Revenue with Interest".</t>
  </si>
  <si>
    <t>wo Interest for</t>
  </si>
  <si>
    <t>for Current</t>
  </si>
  <si>
    <t>Current Month</t>
  </si>
  <si>
    <t>See Note 9</t>
  </si>
  <si>
    <t>See Note 10</t>
  </si>
  <si>
    <t>Shortfall or Excess Revenue in Prior Year:</t>
  </si>
  <si>
    <t>TRR AAF</t>
  </si>
  <si>
    <t>Actual Retail Base Transmission Revenues for any months not included in True Up Period.</t>
  </si>
  <si>
    <t>3) "Actual Retail Base Transmission Revenues" are SCE retail transmission revenues attributable to this formula transmission rate.</t>
  </si>
  <si>
    <t>7) Interest for Current Month is calculated on average of beginning and ending balances (Column 9 previous month and Column 7 current month).</t>
  </si>
  <si>
    <t>Transmission Dep. Reserve - ISO:</t>
  </si>
  <si>
    <t>Distribution Dep. Reserve - ISO:</t>
  </si>
  <si>
    <t>Determination of Net Plant:</t>
  </si>
  <si>
    <t>a) Annual Fixed Charge Rate for CWIP ("AFCRCWIP")</t>
  </si>
  <si>
    <t>Calculation of Incremental Forecast Period TRR ("IFPTRR")</t>
  </si>
  <si>
    <t>NETWORK UPGRADE CREDIT AND INTEREST EXPENSE</t>
  </si>
  <si>
    <t>Outstanding Network Upgrade Credits Recorded in FERC Acct 252</t>
  </si>
  <si>
    <t>Acct 252 Other</t>
  </si>
  <si>
    <t>FF1 113.56c</t>
  </si>
  <si>
    <t>Average Outstanding Network Upgrade Credits Beginning and End of Year</t>
  </si>
  <si>
    <t>Interest On Network Upgrade Credits Recorded in FERC Acct 242</t>
  </si>
  <si>
    <t>Acct 242 Other</t>
  </si>
  <si>
    <t>FF1 113.48c</t>
  </si>
  <si>
    <t>Wtd. Cost of Long Term Debt:</t>
  </si>
  <si>
    <t>Wtd. Cost of Common + Pref. Stock:</t>
  </si>
  <si>
    <t>The AFCR is calculated by dividing the Prior Year TRR (without CWIP related costs)</t>
  </si>
  <si>
    <t>by Net Plant:</t>
  </si>
  <si>
    <t>Overview</t>
  </si>
  <si>
    <t>ROR</t>
  </si>
  <si>
    <t>Depreciation</t>
  </si>
  <si>
    <t>DepRates</t>
  </si>
  <si>
    <t>PlantInService</t>
  </si>
  <si>
    <t>PlantStudy</t>
  </si>
  <si>
    <t>PHFU</t>
  </si>
  <si>
    <t>AbandonedPlant</t>
  </si>
  <si>
    <t>IncentivePlant</t>
  </si>
  <si>
    <t>IncentiveAdder</t>
  </si>
  <si>
    <t>PlantAdditions</t>
  </si>
  <si>
    <t>IFPTRR</t>
  </si>
  <si>
    <t>TrueUpAdjust</t>
  </si>
  <si>
    <t>WorkCap</t>
  </si>
  <si>
    <t>AccDep</t>
  </si>
  <si>
    <t>OandM</t>
  </si>
  <si>
    <t>AandG</t>
  </si>
  <si>
    <t>pursuant to Commission acceptance of an SCE FPA Section 205 filing to revise the authorized PBOPs expense,</t>
  </si>
  <si>
    <t>(Sum of Col 1 to Col 4)</t>
  </si>
  <si>
    <t>Beginning of Year Balances are from December of the year previous to the Prior Year.</t>
  </si>
  <si>
    <t>1) Beginning of Year Balances: (Note 1)</t>
  </si>
  <si>
    <t>2) End of Year Balances: (Note 2)</t>
  </si>
  <si>
    <t>End of Year Balances are from December of the Prior Year.</t>
  </si>
  <si>
    <t>Commission decision.</t>
  </si>
  <si>
    <t>RevenueCredits</t>
  </si>
  <si>
    <t>NUCs</t>
  </si>
  <si>
    <t>RegAssets</t>
  </si>
  <si>
    <t>FFU</t>
  </si>
  <si>
    <t>Allocators</t>
  </si>
  <si>
    <t>TaxRates</t>
  </si>
  <si>
    <t>WholesaleTRRs</t>
  </si>
  <si>
    <t>Wholesale Rates</t>
  </si>
  <si>
    <t>HVLV</t>
  </si>
  <si>
    <t>GrossLoad</t>
  </si>
  <si>
    <t>RetailRates</t>
  </si>
  <si>
    <t>ROE incentive, for each million dollars of Incentive Net Plant.  It is calculated according to the following formula:</t>
  </si>
  <si>
    <t>1) Calculation of Transmission Wages and Salaries Allocation Factor</t>
  </si>
  <si>
    <t>2) Calculation of Transmission Plant Allocation Factor</t>
  </si>
  <si>
    <t xml:space="preserve">Transmission </t>
  </si>
  <si>
    <t>Plant - ISO</t>
  </si>
  <si>
    <t>Total Plant In Service</t>
  </si>
  <si>
    <t>HV and LV Gross Plant Percentages:</t>
  </si>
  <si>
    <t xml:space="preserve">Total Wages and Salaries wo A&amp;G </t>
  </si>
  <si>
    <t>Franchise Fee Factor:</t>
  </si>
  <si>
    <t>Reference:</t>
  </si>
  <si>
    <t>Table of Contents</t>
  </si>
  <si>
    <t>Worksheet Name</t>
  </si>
  <si>
    <t>BaseTRR</t>
  </si>
  <si>
    <t>Base TRR Components.</t>
  </si>
  <si>
    <t>Determination of Capital Structure</t>
  </si>
  <si>
    <t>Calculation of Depreciation Expense</t>
  </si>
  <si>
    <t>Presentation of Depreciation Rates</t>
  </si>
  <si>
    <t xml:space="preserve">Determination of Plant In Service balances </t>
  </si>
  <si>
    <t>Calculation of Abandoned Plant</t>
  </si>
  <si>
    <t>Summary of Incentive Plant balances in the Prior Year</t>
  </si>
  <si>
    <t>Calculation of the Incremental Forecast Period TRR</t>
  </si>
  <si>
    <t>Calculation of the True Up Adjustment</t>
  </si>
  <si>
    <t>Calculation of Accumulated Depreciation</t>
  </si>
  <si>
    <t>Calculation of Operations and Maintenance Expense</t>
  </si>
  <si>
    <t>Calculation of Revenue Credits</t>
  </si>
  <si>
    <t>Calculation of Regulatory Assets/Liabilities and Regulatory Debits</t>
  </si>
  <si>
    <t>Calculation of Composite Tax Rate</t>
  </si>
  <si>
    <t>Calculation of Franchise Fees Factor and Uncollectibles Expense Factor</t>
  </si>
  <si>
    <t>Calculation of components of SCE's Wholesale TRR</t>
  </si>
  <si>
    <t>Calculation of High and Low Voltage percentages of Gross Plant</t>
  </si>
  <si>
    <t>Presentation of forecast Gross Load for wholesale rate calculations</t>
  </si>
  <si>
    <t>Calculation of retail transmission rates</t>
  </si>
  <si>
    <t xml:space="preserve">Calculation of Materials and Supplies and Prepayments </t>
  </si>
  <si>
    <t>Gain negative, loss positive</t>
  </si>
  <si>
    <t>Partial Year</t>
  </si>
  <si>
    <t>Net Gain (Loss) From Purchase and Tender Offers</t>
  </si>
  <si>
    <t>Retail Base TRR:</t>
  </si>
  <si>
    <t>1) Derivation of "Total Demand Rate" and "Total Energy Rate":</t>
  </si>
  <si>
    <t>Note 3</t>
  </si>
  <si>
    <t>CPUC Rate Group</t>
  </si>
  <si>
    <t>12-CP factors</t>
  </si>
  <si>
    <t>Total Allocated costs</t>
  </si>
  <si>
    <t>1d</t>
  </si>
  <si>
    <t>1e</t>
  </si>
  <si>
    <t>1f</t>
  </si>
  <si>
    <t>1g</t>
  </si>
  <si>
    <t>1h</t>
  </si>
  <si>
    <t>1i</t>
  </si>
  <si>
    <t>1j</t>
  </si>
  <si>
    <t>1k</t>
  </si>
  <si>
    <t>1l</t>
  </si>
  <si>
    <t>1m</t>
  </si>
  <si>
    <t>1n</t>
  </si>
  <si>
    <t>Note 4</t>
  </si>
  <si>
    <t>1o</t>
  </si>
  <si>
    <t>Note 5</t>
  </si>
  <si>
    <t>Note 6</t>
  </si>
  <si>
    <t>Note 7</t>
  </si>
  <si>
    <t>Note 11</t>
  </si>
  <si>
    <t>Energy Charge - $/kWh</t>
  </si>
  <si>
    <t>Rate Schedules in each CPUC Rate Group:</t>
  </si>
  <si>
    <t>Rate Schedules included in Each Rate Group in the Rate Effective Period</t>
  </si>
  <si>
    <t>Recorded 12-CP Load Data by Rate Group (MW)</t>
  </si>
  <si>
    <t>Line losses</t>
  </si>
  <si>
    <t>28e</t>
  </si>
  <si>
    <t>Calculation of Plant Held for Future Use</t>
  </si>
  <si>
    <t>Plant In Service</t>
  </si>
  <si>
    <t>13-Mo. Avg:</t>
  </si>
  <si>
    <t>Sum C2 - C4</t>
  </si>
  <si>
    <t>Average:</t>
  </si>
  <si>
    <t>G&amp;I Plant</t>
  </si>
  <si>
    <t>Calculation of Network Upgrade Credits and Network Upgrade Interest Expense</t>
  </si>
  <si>
    <t>Forecast Additions to Net Plant</t>
  </si>
  <si>
    <t>Calculation of SCE's Wholesale transmission rates</t>
  </si>
  <si>
    <t>Towers and Fixtures</t>
  </si>
  <si>
    <t xml:space="preserve">1) Upon Commission approval of any incentives for additional projects, add additional projects and provide cite to the </t>
  </si>
  <si>
    <t>General + Elec. Misc. Intangible Plant</t>
  </si>
  <si>
    <t>Late Payment Charge- Comm. &amp; Ind.</t>
  </si>
  <si>
    <t>HV Transmission Lines</t>
  </si>
  <si>
    <t>Schedule</t>
  </si>
  <si>
    <t>TRANSMISSION PLANT HELD FOR FUTURE USE</t>
  </si>
  <si>
    <t>Partial Year TRR Attribution Allocation Factors:</t>
  </si>
  <si>
    <t>3) The True Up Adjustment is a component of the Base TRR that reflects the difference between projected and</t>
  </si>
  <si>
    <t>Any gain or loss on non-land portions of Transmission Plant Held for Future Use is not included.</t>
  </si>
  <si>
    <t>list on lines 2a, 2b, etc.  Provide description in Column 1.  Note type of plant (land or other) in Column 2.</t>
  </si>
  <si>
    <t>Under "Source" (Column 5), state the line number on FERC Form 1 page 214 from which the amount is derived.</t>
  </si>
  <si>
    <t xml:space="preserve">3) Add additional lines 2 i, j, k, etc. as necessary to include additional projects intended to be placed under the </t>
  </si>
  <si>
    <t>See Note 2.</t>
  </si>
  <si>
    <t>General</t>
  </si>
  <si>
    <t>Intangible</t>
  </si>
  <si>
    <t>FF1 206.99.b and 204.5b</t>
  </si>
  <si>
    <t>b) EOY G&amp;I Plant</t>
  </si>
  <si>
    <t xml:space="preserve">a) BOY/EOY Average G&amp;I Plant </t>
  </si>
  <si>
    <t>FF1 page 214.47d</t>
  </si>
  <si>
    <t>1) Amount of Line 1 not intended to be placed under the Operational Control of the ISO.</t>
  </si>
  <si>
    <t>Reason</t>
  </si>
  <si>
    <t>FF1 277.19k</t>
  </si>
  <si>
    <t>Account 282</t>
  </si>
  <si>
    <t>Account 283</t>
  </si>
  <si>
    <t>Account 190</t>
  </si>
  <si>
    <t>FF1 234.18c</t>
  </si>
  <si>
    <t>Sum C2 - C11</t>
  </si>
  <si>
    <t>Total Distribution</t>
  </si>
  <si>
    <t>FF1 113.56d</t>
  </si>
  <si>
    <t>1) Latest SCE approved sales forecast as of April 15 of each year.</t>
  </si>
  <si>
    <t>2) SCE pump load forecast as of April 15 of each year.</t>
  </si>
  <si>
    <t>1) Prior Year CWIP, Total and by Project</t>
  </si>
  <si>
    <t>Def Operating Land &amp; Facilities Rent Rev</t>
  </si>
  <si>
    <t>FF-1 Total for Account 456.1 - Revenues from Trans. Of Electricity of Others, p300.22b (Must Equal Line 16)</t>
  </si>
  <si>
    <t>FF-1 Total for Acct 450 - Forfeited Discounts, p300.16b (Must Equal Line 2)
(Must Equal Line X)</t>
  </si>
  <si>
    <t>FF-1 Total for Acct 451 - Misc. Service Revenues, p300.17b 
(Must Equal Line 5)</t>
  </si>
  <si>
    <t>FF-1 Total for Acct 453 - Sales of Water and Power, p300.18b
(Must Equal Line 8)</t>
  </si>
  <si>
    <t>FF-1 Total for Acct 454 - Rent from Elec. Property, p300.19b
(Must Equal Line 11)</t>
  </si>
  <si>
    <t>FF-1 Total for Acct 456 - Other electric Revenues, p300.21b
(Must Equal Line 13)</t>
  </si>
  <si>
    <t>FF-1 Total for Account 457.1 - Regional Control Service Revenues, p300.23b (Must Equal Line 19)</t>
  </si>
  <si>
    <t>FF-1 Total for Account 457.2- Miscellaneous Revenues, p300.24b 
(Must Equal Line 22)</t>
  </si>
  <si>
    <t>FF-1 Total for Account 418.1 -Equity in Earnings of Subsidiary Companies, p117.36c (Must Equal Line 29 + 30)</t>
  </si>
  <si>
    <t>FF-1 Total for Account 417 - Revenues From Nonutility Operations  p117.33c (Must Equal Line 25 + 26)</t>
  </si>
  <si>
    <t>Calculation of the Contribution of CWIP to the Base TRR</t>
  </si>
  <si>
    <t>Cost of Capital Rate:</t>
  </si>
  <si>
    <t>Return:</t>
  </si>
  <si>
    <t>ROE Adder %:</t>
  </si>
  <si>
    <t>ROE Adder Tehachapi:</t>
  </si>
  <si>
    <t>ROE Adder DCR:</t>
  </si>
  <si>
    <t>FF Factor:</t>
  </si>
  <si>
    <t>U Factor:</t>
  </si>
  <si>
    <t>2) Summary of Prior Year Incentive Rate Base amounts (EOY Values)</t>
  </si>
  <si>
    <t>d) ROE Incentives:</t>
  </si>
  <si>
    <t>2) Devers to Colorado River</t>
  </si>
  <si>
    <t>2) Contribution from the Incremental Forecast Period TRR</t>
  </si>
  <si>
    <t>b) Return:</t>
  </si>
  <si>
    <t>Tehachapi:</t>
  </si>
  <si>
    <t>Devers to Colorado River:</t>
  </si>
  <si>
    <t>Red Bluff:</t>
  </si>
  <si>
    <t>Whirlwind Sub Expansion:</t>
  </si>
  <si>
    <t>Colorado River Sub Expansion:</t>
  </si>
  <si>
    <t>South of Kramer:</t>
  </si>
  <si>
    <t>West of Devers:</t>
  </si>
  <si>
    <t>PY Total Return, Taxes, Incentive:</t>
  </si>
  <si>
    <t>Total without FF&amp;U:</t>
  </si>
  <si>
    <t>Total Contribution of CWIP to Retail Base TRR:</t>
  </si>
  <si>
    <t>Operations and Maintenance Expenses</t>
  </si>
  <si>
    <t>1) Determination of Adjusted Operations and Maintenance Expenses for each account (Note 1)</t>
  </si>
  <si>
    <t>= C3 + C4</t>
  </si>
  <si>
    <t>= C7 + C8</t>
  </si>
  <si>
    <t>= C10 + C11</t>
  </si>
  <si>
    <t>= C3 + C7</t>
  </si>
  <si>
    <t>= C4 + C8</t>
  </si>
  <si>
    <t>Account/Work Activity  Rev</t>
  </si>
  <si>
    <t>Total Recorded O&amp;M Expenses</t>
  </si>
  <si>
    <t>Adjustments</t>
  </si>
  <si>
    <t>Adjusted Recorded O&amp;M Expenses</t>
  </si>
  <si>
    <t>Labor</t>
  </si>
  <si>
    <t>Non-Labor</t>
  </si>
  <si>
    <t>Transmission Accounts</t>
  </si>
  <si>
    <t>560 - Sylmar/Palo Verde</t>
  </si>
  <si>
    <t>561.400 Scheduling, System Control and Dispatch Services</t>
  </si>
  <si>
    <t>562 - MOGS Station Expense</t>
  </si>
  <si>
    <t>562 - Sylmar/Palo Verde</t>
  </si>
  <si>
    <t>564 - Underground Line Expense</t>
  </si>
  <si>
    <t>565 - Wheeling Costs</t>
  </si>
  <si>
    <t>565 - WAPA Transmission for Remote Service</t>
  </si>
  <si>
    <t>566 - ISO/RSBA/TSP Balancing Accounts</t>
  </si>
  <si>
    <t>566 - Sylmar/Palo Verde/Other General Functions</t>
  </si>
  <si>
    <t>567 - Eldorado</t>
  </si>
  <si>
    <t>567 - Sylmar/Palo Verde</t>
  </si>
  <si>
    <t>568 - Sylmar/Palo Verde</t>
  </si>
  <si>
    <t>569 - Sylmar/Palo Verde</t>
  </si>
  <si>
    <t>570 - Sylmar/Palo Verde</t>
  </si>
  <si>
    <t>571 - Sylmar/Palo Verde</t>
  </si>
  <si>
    <t>572 - Maintenance of Underground Transmission Lines</t>
  </si>
  <si>
    <t>572 - Sylmar/Palo Verde</t>
  </si>
  <si>
    <t>Total Transmission O&amp;M</t>
  </si>
  <si>
    <t>Distribution Accounts</t>
  </si>
  <si>
    <t>590 - Maintenance Supervision and Engineering</t>
  </si>
  <si>
    <t>591 - Maintenance of Structures</t>
  </si>
  <si>
    <t>Accounts with no ISO Distribution Costs</t>
  </si>
  <si>
    <t>Total Distribution O&amp;M</t>
  </si>
  <si>
    <t>Total Transmission and Distribution O&amp;M</t>
  </si>
  <si>
    <t>Total Transmission O&amp;M Expenses in FERC Form 1:</t>
  </si>
  <si>
    <t>FF1 321.112b</t>
  </si>
  <si>
    <t>Total Distribution O&amp;M Expenses in FERC Form 1:</t>
  </si>
  <si>
    <t>From C9 above</t>
  </si>
  <si>
    <t>From C10 above</t>
  </si>
  <si>
    <t>From C11 above</t>
  </si>
  <si>
    <t>ISO O&amp;M Expenses</t>
  </si>
  <si>
    <t>Total Transmission - ISO O&amp;M</t>
  </si>
  <si>
    <t>Total Distribution - ISO O&amp;M</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</si>
  <si>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</si>
  <si>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</si>
  <si>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</si>
  <si>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</si>
  <si>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</si>
  <si>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</si>
  <si>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Remaining Electric Payroll Tax Expense to Allocate</t>
  </si>
  <si>
    <t>BOY:</t>
  </si>
  <si>
    <t>EOY:</t>
  </si>
  <si>
    <t>BOY/EOY Average:</t>
  </si>
  <si>
    <t xml:space="preserve">Depreciation </t>
  </si>
  <si>
    <t>Reserve</t>
  </si>
  <si>
    <t>a) Average BOY/EOY General and Intangible Depreciation Reserve</t>
  </si>
  <si>
    <t>Total G+I Dep. Reserve on Average BOY/EOY basis:</t>
  </si>
  <si>
    <t>G + I Plant Dep. Reserve (BOY/EOY Average):</t>
  </si>
  <si>
    <t>Total G+I Dep. Reserve on Average EOY basis:</t>
  </si>
  <si>
    <t>G + I Plant Dep. Reserve (EOY):</t>
  </si>
  <si>
    <t>Calculation of Wholesale Difference to the Base TRR</t>
  </si>
  <si>
    <t xml:space="preserve">The Wholesale Difference to the Base TRR represents the amount by which the Wholesale Base TRR differs as </t>
  </si>
  <si>
    <t>If the annual amortization affects Income Taxes, there is an additional annual Income Tax Effect.  The table</t>
  </si>
  <si>
    <t>summarizes these impacts for each item:</t>
  </si>
  <si>
    <t xml:space="preserve">Expense </t>
  </si>
  <si>
    <t>(Amortization)</t>
  </si>
  <si>
    <t>Tax Impact</t>
  </si>
  <si>
    <t>a) Depreciation</t>
  </si>
  <si>
    <t>b) Taxes Deferred -Make Up Adjustment (South Georgia)</t>
  </si>
  <si>
    <t>d) Taxes Deferred - Acct. 282 ACRS/MACRS</t>
  </si>
  <si>
    <t>e) Uncollectibles Expense</t>
  </si>
  <si>
    <t>1) Calculation of Wholesale Rate Base Difference and Wholesale Rate Base Adjustment</t>
  </si>
  <si>
    <t>a) Quantification of the Initial 2010 Wholesale Rate Base Difference and annual change</t>
  </si>
  <si>
    <t>with the Initial Prior Year 2010 Rate Base differences and annual changes as follows:</t>
  </si>
  <si>
    <t>2010 Rate Base</t>
  </si>
  <si>
    <t>Annual</t>
  </si>
  <si>
    <t>(Wholesale</t>
  </si>
  <si>
    <t>Change</t>
  </si>
  <si>
    <t>less Retail)</t>
  </si>
  <si>
    <t>1) Accumulated Depreciation</t>
  </si>
  <si>
    <t>Fixed values</t>
  </si>
  <si>
    <t>2) Taxes Deferred - Make Up Adjustment</t>
  </si>
  <si>
    <t>4) Taxes Deferred - Acct. 282 ACRS/MACRS</t>
  </si>
  <si>
    <t>b) Quantification of the Wholesale Rate Base Adjustment</t>
  </si>
  <si>
    <t>the Wholesale Rate Base Difference for the Prior Year.</t>
  </si>
  <si>
    <t>Notes/Instructions</t>
  </si>
  <si>
    <t>Fixed Charge Rate</t>
  </si>
  <si>
    <t>Wholesale Rate Base Difference for Prior Year</t>
  </si>
  <si>
    <t>Wholesale Rate Base Adjustment</t>
  </si>
  <si>
    <t>a) Calculation of the Wholesale South Georgia Income Tax Adjustment to the TRR</t>
  </si>
  <si>
    <t>South Georgia Amortization</t>
  </si>
  <si>
    <t>Total Expense Difference:</t>
  </si>
  <si>
    <t>3) Calculation of the Wholesale Difference to the Base TRR</t>
  </si>
  <si>
    <t>Expense Difference</t>
  </si>
  <si>
    <t>Wholesale Difference to the Base TRR:</t>
  </si>
  <si>
    <t>Notes/Instructions:</t>
  </si>
  <si>
    <t>1) Fixed Charge Rate of capital and income tax costs associated with $1 of Rate Base</t>
  </si>
  <si>
    <t>is defined elsewhere in this formula as "AFCRCWIP".</t>
  </si>
  <si>
    <t>WholesaleDifference</t>
  </si>
  <si>
    <t>Calculation of the Wholesale Difference to the Base TRR</t>
  </si>
  <si>
    <t>Franchise Fee Exclusion</t>
  </si>
  <si>
    <t>Wholesale Difference to the Base TRR</t>
  </si>
  <si>
    <t xml:space="preserve">Base TRR (Retail) </t>
  </si>
  <si>
    <t>Amount to apply the Transmission W&amp;S AF:</t>
  </si>
  <si>
    <t>Transmission W&amp;S AF Portion of A&amp;G:</t>
  </si>
  <si>
    <t>Department</t>
  </si>
  <si>
    <t>A&amp;G</t>
  </si>
  <si>
    <t>Trans. And Dist. Business Unit</t>
  </si>
  <si>
    <t>Total Amount</t>
  </si>
  <si>
    <t>2) Determination of ISO Operations and Maintenance Expenses for each account (Note 5).</t>
  </si>
  <si>
    <t>Joint Pole - Aud - Unauth Penalty</t>
  </si>
  <si>
    <t>Microwave Agreement</t>
  </si>
  <si>
    <t>Miscellaneous Adjustments</t>
  </si>
  <si>
    <t>-</t>
  </si>
  <si>
    <t>Tax Gross Up Factor</t>
  </si>
  <si>
    <t>It represents the effect on expenses (Wholesale less Retail) of amortizing the associated balances each year.</t>
  </si>
  <si>
    <t>CALCULATION OF SCE WHOLESALE HIGH AND LOW VOLTAGE TRRS</t>
  </si>
  <si>
    <t>Gross Load =</t>
  </si>
  <si>
    <t>LV TRR =</t>
  </si>
  <si>
    <t>Low Voltage Access Charge =</t>
  </si>
  <si>
    <t>High Voltage Utility-Specific Rate =</t>
  </si>
  <si>
    <t>HV Wholesale TRR =</t>
  </si>
  <si>
    <t>Sum of Monthly Peak Demands:</t>
  </si>
  <si>
    <t>HV Existing Contracts Access Charge:</t>
  </si>
  <si>
    <t>a) CWIP Balances:</t>
  </si>
  <si>
    <t>CWIP Amount:</t>
  </si>
  <si>
    <t>Cost of Capital:</t>
  </si>
  <si>
    <t>Equity ROR w Preferred Stock ("ER"):</t>
  </si>
  <si>
    <t>Tehachapi CWIP Amount:</t>
  </si>
  <si>
    <t>ROE  Adder $:</t>
  </si>
  <si>
    <t>ROE Adder $ = (CWIP/$1,000,000) * IREF * (ROE Adder/1%)</t>
  </si>
  <si>
    <t>PYTRR</t>
  </si>
  <si>
    <t>1) Contribution to the Prior Year TRR</t>
  </si>
  <si>
    <t>Cost of</t>
  </si>
  <si>
    <t>Income</t>
  </si>
  <si>
    <t>Capital</t>
  </si>
  <si>
    <t>Taxes</t>
  </si>
  <si>
    <t>a) Total of all CWIP projects</t>
  </si>
  <si>
    <t>b) Individual Project Contribution</t>
  </si>
  <si>
    <t>b) Individual CWIP Project Contribution to the Retail Base TRR</t>
  </si>
  <si>
    <t>FF&amp;U</t>
  </si>
  <si>
    <t>Direct CWIP Related Costs:</t>
  </si>
  <si>
    <t>Calculation of SCE Wholesale Rates (See Note 1)</t>
  </si>
  <si>
    <t>1) SCE's wholesale rates are subject to revision upon acceptance by the Commission of a revised TRBAA</t>
  </si>
  <si>
    <t xml:space="preserve">1) TRBAA is "Transmission Revenue Balancing Account Adjustment".  The TRBAA is determined pursuant to SCE's </t>
  </si>
  <si>
    <t>amount, or upon the date the Commission orders.</t>
  </si>
  <si>
    <t>Determination of Prior Year TRR without CWIP related costs:</t>
  </si>
  <si>
    <t>a) Determination of CWIP-Related Costs</t>
  </si>
  <si>
    <t>1) Direct (without ROE adder) CWIP costs</t>
  </si>
  <si>
    <t>2) CWIP ROE Adder costs:</t>
  </si>
  <si>
    <t>DCR CWIP Amount:</t>
  </si>
  <si>
    <t>Tehachapi ROE  Adder $:</t>
  </si>
  <si>
    <t>Tehachapi ROE Adder %:</t>
  </si>
  <si>
    <t>DCR ROE Adder %:</t>
  </si>
  <si>
    <t>DCR ROE  Adder $:</t>
  </si>
  <si>
    <t>IREF:</t>
  </si>
  <si>
    <t>b) Determination of AFCR:</t>
  </si>
  <si>
    <t>CWIPTRR</t>
  </si>
  <si>
    <t>Calculation of Contribution of CWIP to TRRs</t>
  </si>
  <si>
    <t>Overview of SCE Retail Base TRR</t>
  </si>
  <si>
    <t xml:space="preserve">1) Depreciation Expense for each account for each month is equal to the previous month balance of Transmission Plant - ISO for that </t>
  </si>
  <si>
    <t>2) Enter total amounts of plant from FERC Form 1 in Column 1, "Total Plant".</t>
  </si>
  <si>
    <t xml:space="preserve">1) Determine Prior Year Incentive Adder for each Incentive Project by multiplying the </t>
  </si>
  <si>
    <t>Forecast Plant Additions for In-Service ISO Transmission Plant</t>
  </si>
  <si>
    <t xml:space="preserve">Forecast Plant Additions represents the total increase in ISO Transmission Net Plant, not including CWIP, </t>
  </si>
  <si>
    <t>AFCRCWIP represents the return and income tax costs associated with $1 of CWIP,</t>
  </si>
  <si>
    <t>CWIP Plant - Prior Year:</t>
  </si>
  <si>
    <t>Prior Year TRR wo CWIP Related Costs:</t>
  </si>
  <si>
    <t>Percent</t>
  </si>
  <si>
    <t>Percentage</t>
  </si>
  <si>
    <t>Summary of Split of T&amp;D Plant into ISO and Non-ISO</t>
  </si>
  <si>
    <t>Total without FF&amp;U</t>
  </si>
  <si>
    <t>IFPTRR without FF&amp;U:</t>
  </si>
  <si>
    <t>Franchise Fees Expense:</t>
  </si>
  <si>
    <t>Uncollectibles Expense:</t>
  </si>
  <si>
    <t>Uncollectibles Expense -- Prior Year TRR</t>
  </si>
  <si>
    <t>Uncollectibles Expense -- IFPTRR</t>
  </si>
  <si>
    <t>FF&amp;U:</t>
  </si>
  <si>
    <t>CWIP component of IFPTRR without FF&amp;U:</t>
  </si>
  <si>
    <t>CWIP component of IFPTRR including FF&amp;U:</t>
  </si>
  <si>
    <t xml:space="preserve">Note 4: </t>
  </si>
  <si>
    <t>Franchise Fees Expenses component of the Prior Year TRR are based on Franchise Fee Factors.</t>
  </si>
  <si>
    <t>FF</t>
  </si>
  <si>
    <t>= Sum C1 to C4</t>
  </si>
  <si>
    <t>FF&amp;U Expenses:</t>
  </si>
  <si>
    <t>CWIP Related Costs wo FF&amp;U:</t>
  </si>
  <si>
    <t>CWIP Related Costs with FF&amp;U:</t>
  </si>
  <si>
    <t>12-CP MW</t>
  </si>
  <si>
    <t>Loss Adjusted Average 12-CP</t>
  </si>
  <si>
    <t>siting, or informational purposes in column 1.</t>
  </si>
  <si>
    <t>4) Calculation of True-Up Incentive Adder</t>
  </si>
  <si>
    <t xml:space="preserve">1) Determine True Up Incentive Adder for each Incentive Project by multiplying the </t>
  </si>
  <si>
    <t>True-Up Incentive Adder =</t>
  </si>
  <si>
    <t>True Up Incentive Adder</t>
  </si>
  <si>
    <t xml:space="preserve">(HV Allocation Factor and </t>
  </si>
  <si>
    <t>Unamortized Issuance Costs</t>
  </si>
  <si>
    <t>Minus Net Gain (Loss) From Purchase and Tender Offers</t>
  </si>
  <si>
    <t>Less Unappropriated Undist. Sub. Earnings -- Acct. 216.1</t>
  </si>
  <si>
    <t>Less Accumulated Other Comprehensive Loss -- Account 219</t>
  </si>
  <si>
    <t>Calculation of Preferred Stock Amount</t>
  </si>
  <si>
    <t>June</t>
  </si>
  <si>
    <t>Col 13</t>
  </si>
  <si>
    <t>Col 14</t>
  </si>
  <si>
    <t>= C2 + C3</t>
  </si>
  <si>
    <t>IREF = CSCP * 0.01 * (1/(1 - CTR)) * $1,000,000</t>
  </si>
  <si>
    <t>CPUC Jurisdictional service related.</t>
  </si>
  <si>
    <t>CWIP component of IFPTRR wo FF&amp;U:</t>
  </si>
  <si>
    <t>c) Individual CWIP Project Contribution to the Wholesale Base TRR</t>
  </si>
  <si>
    <t>wo FF&amp;U</t>
  </si>
  <si>
    <t>with FF&amp;U</t>
  </si>
  <si>
    <t>6) Same as Note 5 except no Uncollectibles Expense in Column 3.</t>
  </si>
  <si>
    <t>Total Contribution of CWIP to Wholesale Base TRR:</t>
  </si>
  <si>
    <t>Franchise Fees Amount:</t>
  </si>
  <si>
    <t>Uncollectibles Amount:</t>
  </si>
  <si>
    <t>3) Total Contribution of CWIP to the Retail and Wholesale Base TRRs:</t>
  </si>
  <si>
    <t>A) Rate Base for True Up TRR</t>
  </si>
  <si>
    <t>Total without True Up Incentive Adder</t>
  </si>
  <si>
    <t>True Up TRR wo FF:</t>
  </si>
  <si>
    <t>True Up TRR:</t>
  </si>
  <si>
    <t>b) Determine monthly retail transmission revenues attributable to this formula transmission rate received during Prior Year.</t>
  </si>
  <si>
    <t>2) Comparison of True Up TRR and Actual Retail Transmission Revenues received during the Prior Year,</t>
  </si>
  <si>
    <t>1) The true up period is the portion (all or part) of the Prior Year for which the Formula Transmission Rate was in effect.</t>
  </si>
  <si>
    <t>2) The Monthly True Up TRR is derived by multiplying the annual True Up TRR on Line 1 by 1/12, if formula was in effect.  In the event of</t>
  </si>
  <si>
    <t>TUTRR</t>
  </si>
  <si>
    <t>Calculation of the True Up TRR</t>
  </si>
  <si>
    <t>2) Prior Year Incentive Rate Base - End of Year</t>
  </si>
  <si>
    <t>3) Prior Year Incentive Rate Base - 13-Month Average</t>
  </si>
  <si>
    <t>3) Summary of Prior Year Incentive Rate Base amounts (13-Month Average values)</t>
  </si>
  <si>
    <t>a) CWIP Plant during the Prior Year is included in Rate Base (used in Prior Year TRR and True Up TRR).</t>
  </si>
  <si>
    <t xml:space="preserve">c) CWIP Plant receiving an ROE adder contributes to Prior Year Incentive Rate Base - EOY, </t>
  </si>
  <si>
    <t>or Prior Year Incentive Rate Base - 13 Month Average as appropriate.</t>
  </si>
  <si>
    <t>e) "TIP Net Plant In Service" in PY is used to calculate the Prior Year Incentive Rate Base (on 13-month average basis).</t>
  </si>
  <si>
    <t>d) "TIP Net Plant In Service" at EOY Prior Year is used to calculate the PY Incentive Rate Base (on EOY basis).</t>
  </si>
  <si>
    <t>b) The True Up Incentive Adder is a component of the True Up TRR.</t>
  </si>
  <si>
    <t>IREF, the Multiplicative Factor, and the million $ of True Up Incentive Net Plant.</t>
  </si>
  <si>
    <t>1) CWIP Contribution to the Prior Year TRR and True Up TRR</t>
  </si>
  <si>
    <t>e) Total of Return, Income Taxes, and ROE Incentives contribution to PYTRR and True Up TRR</t>
  </si>
  <si>
    <t>f) Contribution from each Project to the Prior Year TRR and True Up TRR</t>
  </si>
  <si>
    <t>2) Contribution to the True Up TRR</t>
  </si>
  <si>
    <t>CWIP Component of Wholesale Base TRR:</t>
  </si>
  <si>
    <t>Non-CWIP Component of Wholesale Base TRR:</t>
  </si>
  <si>
    <t>Calculation of Total High Voltage and Low Voltage components of Wholesale TRR</t>
  </si>
  <si>
    <t>c) Excess Deferred Taxes</t>
  </si>
  <si>
    <t>3) Excess Deferred Taxes</t>
  </si>
  <si>
    <t>Annual Amort. of "Excess Deferred Taxes":</t>
  </si>
  <si>
    <t>b) Calculation of "Excess Deferred Taxes" Grossed Up for Income Taxes</t>
  </si>
  <si>
    <t>Excess Deferred Taxes Grossed Up for Income Taxes:</t>
  </si>
  <si>
    <t>Non-ISO facilities related.</t>
  </si>
  <si>
    <t>2) Calculation of Wholesale Expense Difference</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</si>
  <si>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</si>
  <si>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</si>
  <si>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</si>
  <si>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</si>
  <si>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</si>
  <si>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</si>
  <si>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</si>
  <si>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</si>
  <si>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</si>
  <si>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</si>
  <si>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</si>
  <si>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</si>
  <si>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</si>
  <si>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</si>
  <si>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</si>
  <si>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Column 2: The After Tax True Up Incentive Adder is derived by multiplying the amounts in</t>
  </si>
  <si>
    <t>1) Wholesale Depreciation Difference</t>
  </si>
  <si>
    <t>Negative amount is to be returned to customers by SCE (included in Base TRR as a negative amount).</t>
  </si>
  <si>
    <t>Balances for Transmission Plant - ISO during the Prior Year, including December of previous year (See Note 1):</t>
  </si>
  <si>
    <t>Transmission Activity Used to Determine Monthly Transmission Plant - ISO Balances</t>
  </si>
  <si>
    <t>4) Calculation of change in Non-Incentive ISO Plant:</t>
  </si>
  <si>
    <t>3) General and Intangible Depreciation Reserve</t>
  </si>
  <si>
    <t>Transmission Activity Used to Determine Monthly Transmission Depreciation Reserve - ISO Balances</t>
  </si>
  <si>
    <t>Balances for Transmission Depreciation Reserve - ISO during the Prior Year, including December of previous year (See Note 1):</t>
  </si>
  <si>
    <t>2) Distribution Depreciation Reserve - ISO (See Note 2)</t>
  </si>
  <si>
    <t>5) Total Transmission Activity for Incentive Projects</t>
  </si>
  <si>
    <t>Account 350-359</t>
  </si>
  <si>
    <t>Activity for</t>
  </si>
  <si>
    <t>360-362</t>
  </si>
  <si>
    <t>Projects</t>
  </si>
  <si>
    <t>Activity</t>
  </si>
  <si>
    <t xml:space="preserve">Source </t>
  </si>
  <si>
    <t>6) Calculation of Prior Year Net Plant in Service amounts for each Incentive Project</t>
  </si>
  <si>
    <t>a) Tehachapi</t>
  </si>
  <si>
    <t>Accumulated</t>
  </si>
  <si>
    <t>In-Service</t>
  </si>
  <si>
    <t>b) Rancho Vista</t>
  </si>
  <si>
    <t>c) Devers to Colorado River</t>
  </si>
  <si>
    <t>f) Red Bluff</t>
  </si>
  <si>
    <t>6) Summary of Incentive Projects and incentives granted</t>
  </si>
  <si>
    <t>for each month</t>
  </si>
  <si>
    <t>C1: Sum of below projects</t>
  </si>
  <si>
    <t>Related</t>
  </si>
  <si>
    <t>b) Beginning of Year Accumulated Deferred Income Taxes</t>
  </si>
  <si>
    <t>Total Accumulated Deferred Income Taxes</t>
  </si>
  <si>
    <t>c) Average of Beginning and End of Year Accumulated Deferred Income Taxes</t>
  </si>
  <si>
    <t>2) Account 190 Detail</t>
  </si>
  <si>
    <t>END BAL</t>
  </si>
  <si>
    <t>Gas, Generation</t>
  </si>
  <si>
    <t>ACCT 190</t>
  </si>
  <si>
    <t>DESCRIPTION</t>
  </si>
  <si>
    <t>per G/L</t>
  </si>
  <si>
    <t>or Other Related</t>
  </si>
  <si>
    <t>ISO Only</t>
  </si>
  <si>
    <t>Plant Related</t>
  </si>
  <si>
    <t>Labor Related</t>
  </si>
  <si>
    <t>Electric:</t>
  </si>
  <si>
    <t>Continuation of Account 190 Detail</t>
  </si>
  <si>
    <t>Total Electric 190</t>
  </si>
  <si>
    <t>Account 190 Gas and Other Income:</t>
  </si>
  <si>
    <t>Total Account 190 Gas and Other Income</t>
  </si>
  <si>
    <t>Total Account 190</t>
  </si>
  <si>
    <t>FERC Form 1 Account 190</t>
  </si>
  <si>
    <t>3) Account 282 Detail</t>
  </si>
  <si>
    <t>ACCT 282</t>
  </si>
  <si>
    <t>FERC Form 1 Account 282</t>
  </si>
  <si>
    <t>FF1 275.5k</t>
  </si>
  <si>
    <t>4) Account 283 Detail</t>
  </si>
  <si>
    <t>ACCT 283</t>
  </si>
  <si>
    <t>Continuation of Account 283 Detail</t>
  </si>
  <si>
    <t>Electric (continued):</t>
  </si>
  <si>
    <t>Total Electric 283</t>
  </si>
  <si>
    <t>Total Account 283 Gas and Other</t>
  </si>
  <si>
    <t>Total Account 283</t>
  </si>
  <si>
    <t>g) Whirlwind Substation Expansion</t>
  </si>
  <si>
    <t>h) Colorado River Substation Expansion</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</si>
  <si>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</si>
  <si>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</si>
  <si>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</si>
  <si>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</si>
  <si>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</si>
  <si>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</si>
  <si>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</si>
  <si>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</si>
  <si>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</si>
  <si>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Map Board</t>
  </si>
  <si>
    <t>Stores Equipment</t>
  </si>
  <si>
    <t>Laboratory Equipment</t>
  </si>
  <si>
    <t>Misc Power Plant Equipment</t>
  </si>
  <si>
    <t>Telecom System Equipment</t>
  </si>
  <si>
    <t>Netcomm Radio Assembly</t>
  </si>
  <si>
    <t>Microwave Equip. &amp; Antenna Assembly</t>
  </si>
  <si>
    <t>Fiber Optic Communication Cables</t>
  </si>
  <si>
    <t>Telecom Infrastructure</t>
  </si>
  <si>
    <t>Transportation Equip.</t>
  </si>
  <si>
    <t>Garage &amp; Shop -- Equip.</t>
  </si>
  <si>
    <t>Tools &amp; Work Equip. -- Shop</t>
  </si>
  <si>
    <t>Power Oper Equip</t>
  </si>
  <si>
    <t>5) Monthly Interest Rates in accordance with interest rate specified in the regulations of FERC (See Instruction #3).</t>
  </si>
  <si>
    <t>FERC Form 1 Account 283</t>
  </si>
  <si>
    <t>Low Voltage</t>
  </si>
  <si>
    <t>13-Month Averages:</t>
  </si>
  <si>
    <t>LV Allocation Factor)</t>
  </si>
  <si>
    <t>13-month avg.</t>
  </si>
  <si>
    <t>Total Account 282</t>
  </si>
  <si>
    <t>Allocation Factors (Plant and Wages)</t>
  </si>
  <si>
    <t>Total Account 190 ADIT</t>
  </si>
  <si>
    <t>Total Account 282 ADIT</t>
  </si>
  <si>
    <t>(Sum of amounts in Columns 4 to 6)</t>
  </si>
  <si>
    <t>Total Account 283 ADIT</t>
  </si>
  <si>
    <t>Other Regulatory Assets/Liabilities (BOY/EOY average):</t>
  </si>
  <si>
    <t>The Wholesale Rate Base Adjustment represents the impact on the Wholesale Base TRR relative to the Retail Base TRR of</t>
  </si>
  <si>
    <t>If an annual amortization amount affects Income Taxes, the expense difference must be grossed up for income taxes.</t>
  </si>
  <si>
    <t>Calculation of Forecast Gross Load</t>
  </si>
  <si>
    <t>CADI Vol Plan Assess</t>
  </si>
  <si>
    <t>Capitalized Overhead portion of Electric Payroll Tax Expense</t>
  </si>
  <si>
    <t>Base Transmission Revenue Requirement (Retail)</t>
  </si>
  <si>
    <t>Wholesale Base Transmission Revenue Requirement</t>
  </si>
  <si>
    <t>Calculation of Base Transmission Revenue Requirement</t>
  </si>
  <si>
    <t>Less Standby Transmission Revenues:</t>
  </si>
  <si>
    <t>Components of Wholesale</t>
  </si>
  <si>
    <t>Transmission Revenue Requirement:</t>
  </si>
  <si>
    <t>3) End-User Transmission Rates</t>
  </si>
  <si>
    <t>Calculation of 13-Month Average Capitalization Balances</t>
  </si>
  <si>
    <t>Item</t>
  </si>
  <si>
    <t>Bonds -- Account 221 (Note 1):</t>
  </si>
  <si>
    <t xml:space="preserve">1) Enter 13 months of balances for capital structure for Prior Year and December previous to Prior Year in Columns 2-14.  </t>
  </si>
  <si>
    <t>3) Capitalized Overhead portion of Electric Payroll Tax Expense</t>
  </si>
  <si>
    <t>= F + [S * (1 - F)]</t>
  </si>
  <si>
    <t>Franchise Fees and Uncollectibles Expense Factors</t>
  </si>
  <si>
    <t>2) Approved Uncollectibles Expense Factor(s)</t>
  </si>
  <si>
    <t>Transmission Owner Tariff and may be revised each January 1, upon commission acceptance of a revised TRBAA</t>
  </si>
  <si>
    <t>SCE's retail Base Transmission Revenue Requirement is the sum of the following components:</t>
  </si>
  <si>
    <t>Base TRR (retail)</t>
  </si>
  <si>
    <t>Transmission Depreciation Reserve - ISO</t>
  </si>
  <si>
    <t>Distribution Depreciation Reserve - ISO</t>
  </si>
  <si>
    <t>Beginning and End of year amounts in Columns 2 and 14 are from FERC Form 1, as referenced in below notes.</t>
  </si>
  <si>
    <t>=Sum C2 to C4</t>
  </si>
  <si>
    <t>=Sum C2 to C11</t>
  </si>
  <si>
    <t>4) Gains and Losses on Transmission Plant Held for Future Use - Land is treated in accordance with Commission policy.</t>
  </si>
  <si>
    <t>3) Devers-Colorado River</t>
  </si>
  <si>
    <t>= C1 - C2</t>
  </si>
  <si>
    <t>= C1 - Previous</t>
  </si>
  <si>
    <t>Month C1</t>
  </si>
  <si>
    <t>Total PY Incentive Net Plant:</t>
  </si>
  <si>
    <t xml:space="preserve">End of Year </t>
  </si>
  <si>
    <t>13 Month Average</t>
  </si>
  <si>
    <t>2) Sum project-specific Incentive Adders to yield the total True Up Incentive Adder.</t>
  </si>
  <si>
    <t>Sum of above PY Incentive Adders</t>
  </si>
  <si>
    <t>for each individual project</t>
  </si>
  <si>
    <t xml:space="preserve">Depreciation Expense is the sum of: </t>
  </si>
  <si>
    <t>4) Depreciation Expense</t>
  </si>
  <si>
    <t>= C3 * C5</t>
  </si>
  <si>
    <t>= C4 * C5</t>
  </si>
  <si>
    <t>5) "ISO Operations and Maintenance Expenses" is the amount of costs in each Transmission or Distribution account related to ISO Transmission Facilities.</t>
  </si>
  <si>
    <t>Total ISO O&amp;M Expenses (in Column 6)</t>
  </si>
  <si>
    <t>a) Exclude amount of any Shareholder Adjustments, costs incurred on behalf of SCE shareholders, from relevant account in Column 1.</t>
  </si>
  <si>
    <t>Only projects that are in Rate Base in the year reported are included.</t>
  </si>
  <si>
    <t xml:space="preserve">Southern States Realty </t>
  </si>
  <si>
    <t>2, 15</t>
  </si>
  <si>
    <t>15-</t>
  </si>
  <si>
    <t>Supplies Balances</t>
  </si>
  <si>
    <t>Total Materials and</t>
  </si>
  <si>
    <t>Calculation of True Up TRR</t>
  </si>
  <si>
    <t>Calculation of True Up Adjustment Component of TRR</t>
  </si>
  <si>
    <t>a</t>
  </si>
  <si>
    <t>b</t>
  </si>
  <si>
    <t>c</t>
  </si>
  <si>
    <t>d</t>
  </si>
  <si>
    <t>e</t>
  </si>
  <si>
    <t>f</t>
  </si>
  <si>
    <t>Adjustment:</t>
  </si>
  <si>
    <t>g</t>
  </si>
  <si>
    <t>Calculation of Incentive Adder component of the Prior Year TRR</t>
  </si>
  <si>
    <t>EOY HV</t>
  </si>
  <si>
    <t>(Note 1)</t>
  </si>
  <si>
    <t>1) "EOY HV Abandoned Plant" is amount of "EOY Abandoned Plant" that would have been High Voltage (&gt;= 200 kV).</t>
  </si>
  <si>
    <t>a) Fill in the name the project in order (First Project, Second Project, etc.).</t>
  </si>
  <si>
    <t>b) Fill in the table with annual End of Year ("EOY") Abandoned Plant, EOY HV Abandoned Plant, and</t>
  </si>
  <si>
    <t>Instruction 1</t>
  </si>
  <si>
    <t>the ROE used in Schedule 1 will differ from the ROE used in this Schedule 4, because the Schedule 1 ROE will be the most recent ROE,</t>
  </si>
  <si>
    <t>See Note 1 and Instruction 1</t>
  </si>
  <si>
    <t>See Note 2 and Instruction 2</t>
  </si>
  <si>
    <t>12aaa</t>
  </si>
  <si>
    <t>12bbb</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</si>
  <si>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</si>
  <si>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</si>
  <si>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</si>
  <si>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</si>
  <si>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</si>
  <si>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</si>
  <si>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Amortization and Regulatory Debits/Credits:</t>
  </si>
  <si>
    <t>Amortization or</t>
  </si>
  <si>
    <t>Debit/Credit</t>
  </si>
  <si>
    <t>1) Upon Commission approval of recovery of Other Regulatory Assets/Liabilities, Amortization and Regulatory Debits/Credits</t>
  </si>
  <si>
    <t>Amortization and Regulatory Debits/Credits</t>
  </si>
  <si>
    <t>Determination of Regulatory Assets/Liabilities and Associated Amortization and Regulatory Debits/Credits</t>
  </si>
  <si>
    <t xml:space="preserve"> One Time Adjustments include:</t>
  </si>
  <si>
    <t>Account 283 Gas and Other:</t>
  </si>
  <si>
    <t>Revenue From Decommission Trust Fund</t>
  </si>
  <si>
    <t>Revenue From Decommissioning Trust FAS115</t>
  </si>
  <si>
    <t>Revenue From Decommissioning Trust FAS115-1</t>
  </si>
  <si>
    <t>Prior Year TRR wo FF&amp;U:</t>
  </si>
  <si>
    <t>Uncollectibles Expense Factor:</t>
  </si>
  <si>
    <t>Allocated based on CPUC GRC allocator in effect during the Prior Year.  The weighted average (by time) shall be used if more than one allocator is in effect during the Prior Year.</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</si>
  <si>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</si>
  <si>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D = Book Depreciation of AFUDC Equity Book Basis</t>
  </si>
  <si>
    <t>Return on Common Equity</t>
  </si>
  <si>
    <t xml:space="preserve">Equity Rate of Return Including Common and Preferred Stock </t>
  </si>
  <si>
    <t>ER = Equity Rate of Return Including Common and Preferred Stock</t>
  </si>
  <si>
    <t>ER = Equity ROR inc. Com. and Pref. Stock</t>
  </si>
  <si>
    <t>Prior Year:</t>
  </si>
  <si>
    <t>Balances for Distribution Plant - ISO for December of Prior Year and year before Prior Year (See Note 2)</t>
  </si>
  <si>
    <t>4) General Plant + Electric Miscellaneous Intangible Plant ("G&amp;I Plant")</t>
  </si>
  <si>
    <t>BOY amount from previous PY</t>
  </si>
  <si>
    <t>End of year ("EOY") amount</t>
  </si>
  <si>
    <t>A) Plant Classified as Transmission in  FERC Form 1 for Prior Year:</t>
  </si>
  <si>
    <r>
      <rPr>
        <b/>
        <sz val="10"/>
        <rFont val="Arial"/>
        <family val="2"/>
      </rPr>
      <t>Notes:</t>
    </r>
    <r>
      <rPr>
        <sz val="10"/>
        <rFont val="Arial"/>
        <family val="2"/>
      </rPr>
      <t xml:space="preserve"> 1) Depreciation rates may only be revised as approved by the Commission pursuant</t>
    </r>
  </si>
  <si>
    <t>Resulting Percentage is:</t>
  </si>
  <si>
    <t>Percent ISO</t>
  </si>
  <si>
    <r>
      <t xml:space="preserve">as approved by Commission Order 86 FERC </t>
    </r>
    <r>
      <rPr>
        <sz val="10"/>
        <color theme="1"/>
        <rFont val="Calibri"/>
        <family val="2"/>
      </rPr>
      <t>¶</t>
    </r>
    <r>
      <rPr>
        <sz val="10"/>
        <color theme="1"/>
        <rFont val="Arial"/>
        <family val="2"/>
      </rPr>
      <t xml:space="preserve"> 63,014 in Docket No. ER97-2355.</t>
    </r>
  </si>
  <si>
    <t>2) Franchise Fees Factor is calculated from CPUC Decision by dividing adopted Franchise Fees</t>
  </si>
  <si>
    <t xml:space="preserve">by Total Operating Revenues less Franchise Fees.  Uncollectibles Factor is calculated by </t>
  </si>
  <si>
    <t>3) Calculate in module 3 the weighted average FF and U factors from the factors in modules 1 and 2 based</t>
  </si>
  <si>
    <t>Calculated according to Instruction 3</t>
  </si>
  <si>
    <t>Factors represent factors that, when applied to TRR without FF and U will correctly determine FF and U expense.</t>
  </si>
  <si>
    <t>1) Enter Franchise Fee and Uncollectibles Factors as approved by the California Public Utilities Commission ("CPUC")</t>
  </si>
  <si>
    <t>Total  Transmission Lines (L 2 + L 3):</t>
  </si>
  <si>
    <t>HV and LV Components of Total ISO Plant on Lines 2, 3, 7, 8, and 9 are</t>
  </si>
  <si>
    <t>from the Plant Study, performed pursuant to Section 9 of Appendix IX:</t>
  </si>
  <si>
    <t>Source:</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</si>
  <si>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</si>
  <si>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16-</t>
  </si>
  <si>
    <t>418.1 Other (See Note 16)</t>
  </si>
  <si>
    <t>Tot. ISO Ratepayers' Share NTP&amp;S Gross Rev.</t>
  </si>
  <si>
    <t>whereas the Schedule 4 Cost of Capital Rate and Equity Rate of Return including Com. + Pref. Stock will be based on the weighted-average ROE.</t>
  </si>
  <si>
    <t>in modules 1 and 2 above pursuant to Instruction 2.  If approved factors changed during Prior Year, enter both,</t>
  </si>
  <si>
    <t>in Schedule 19 (OandM) related to Order 668 costs transferred.</t>
  </si>
  <si>
    <t xml:space="preserve">c) Exclude entire amount of account 927 "Franchise Requirements" in Column 2, as those costs are recovered </t>
  </si>
  <si>
    <t xml:space="preserve">d) Exclude any amount of Account 930.1 "General Advertising Expense" not related to advertising for safety, </t>
  </si>
  <si>
    <t>e) Exclude any amount of expense relating to secondary land use and audit expenses not directly benefitting utility customers.</t>
  </si>
  <si>
    <t>b) Include as an adjustment in Column 1 for Account 920 any amount excluded from Accounts 569.100, 569.200, and 569.300</t>
  </si>
  <si>
    <t>FF1 207.99.g and 205.5g</t>
  </si>
  <si>
    <t>Credit</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</si>
  <si>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</si>
  <si>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</si>
  <si>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Southern States Realty is a subsidiary company.  Gross revenues are not reported in FF-1, only net earnings.  Net Earnings for Southern States Realty are reported on Acct 418.1, pg 225.17e.</t>
  </si>
  <si>
    <t>Mo/YR</t>
  </si>
  <si>
    <t>Beginning of Year ("BOY") amount</t>
  </si>
  <si>
    <t>a) 13-Month Average Calculation</t>
  </si>
  <si>
    <t>13-Month AverageValue:</t>
  </si>
  <si>
    <t>on the Transmission Wages and Salaries Allocation Factor.</t>
  </si>
  <si>
    <t>17-</t>
  </si>
  <si>
    <t xml:space="preserve">2) In the event that depreciation rates stated on Schedule 18 to be applied to Distribution Plant - ISO are revised mid-year, calculate Depreciation Expense for </t>
  </si>
  <si>
    <t>See Instructions 2b, 3, and Note 2</t>
  </si>
  <si>
    <t>Sub-Total Local Taxes</t>
  </si>
  <si>
    <t>CA SUI Current</t>
  </si>
  <si>
    <t>Fed Unemp Tax Act- Current</t>
  </si>
  <si>
    <t>SF Pyrl Exp Tx - SCE</t>
  </si>
  <si>
    <t>(No "Credits and Other" or "AFUDC" Terms, since these are not related to CWIP)</t>
  </si>
  <si>
    <t>1) Nuclear Power Research Expenses.</t>
  </si>
  <si>
    <t>2) Write Off of Abandoned Project Expenses.</t>
  </si>
  <si>
    <t>f) Exclude from account 930.2:</t>
  </si>
  <si>
    <t>3) Any advertising expenses within the Consultants/Professional Services category.</t>
  </si>
  <si>
    <t xml:space="preserve">b) Forecast Period Incremental CWIP contributes to Incremental Forecast Period TRR </t>
  </si>
  <si>
    <r>
      <rPr>
        <b/>
        <sz val="10"/>
        <rFont val="Arial"/>
        <family val="2"/>
      </rPr>
      <t xml:space="preserve">Source: </t>
    </r>
    <r>
      <rPr>
        <sz val="10"/>
        <rFont val="Arial"/>
        <family val="2"/>
      </rPr>
      <t>6-PlantInService, Lines 1-13.</t>
    </r>
  </si>
  <si>
    <t>Depreciation Rates (Percent per year)  See "18-DepRates".</t>
  </si>
  <si>
    <t xml:space="preserve">Source:      From 4-TUTRR, </t>
  </si>
  <si>
    <t>The Prior Year TRR is calculated using End-of-Year Rate Base values, as set forth in the "1-BaseTRR" Worksheet.</t>
  </si>
  <si>
    <t>plant or CWIP, as set forth in the "2-IFPTRR" Worksheet.</t>
  </si>
  <si>
    <t>actual costs, as set forth in the "3-TrueUpAdjust" Worksheet.</t>
  </si>
  <si>
    <t>2) From 33-RetailRates.  See Line:</t>
  </si>
  <si>
    <t>amount.  See Note 1 on 29-WholesaleTRRs.</t>
  </si>
  <si>
    <t>For subsidiaries that are subject to GRSM, Column D contains gross revenues.  Input on Line 30D contains the associated expenses.</t>
  </si>
  <si>
    <t>Gen. and Int.</t>
  </si>
  <si>
    <t>=C4+C5</t>
  </si>
  <si>
    <t>FF1 219.28c and 200.21c for previous year</t>
  </si>
  <si>
    <t>FF1 219.28c and 200.21c</t>
  </si>
  <si>
    <t>Values</t>
  </si>
  <si>
    <t>Applied to Accounts</t>
  </si>
  <si>
    <t>ISO Line Miles</t>
  </si>
  <si>
    <t>Non-ISO Line Miles</t>
  </si>
  <si>
    <t>Total Line Miles</t>
  </si>
  <si>
    <t>ISO Underground Line Miles</t>
  </si>
  <si>
    <t>Non-ISO Underground Line Miles</t>
  </si>
  <si>
    <t>Total Undergound Line Miles</t>
  </si>
  <si>
    <t>ISO Circuit Breakers</t>
  </si>
  <si>
    <t>Non-ISO Breakers</t>
  </si>
  <si>
    <t>Total Circuit Breakers</t>
  </si>
  <si>
    <t>Circuit Breakers Percent ISO</t>
  </si>
  <si>
    <t>Non-ISO Distribution Circuit Breakers</t>
  </si>
  <si>
    <t>Total Distribution Circuit Breakers</t>
  </si>
  <si>
    <t>ISO Distribution Circuit Breakers</t>
  </si>
  <si>
    <t>Distribution Circuit Breakers Percent ISO</t>
  </si>
  <si>
    <t>For the following Prior Years:</t>
  </si>
  <si>
    <t>Edison Material Supply (EMS)</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</si>
  <si>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</si>
  <si>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</si>
  <si>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</si>
  <si>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</si>
  <si>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Orders Providing for Abandoned Plant Cost Recovery:</t>
  </si>
  <si>
    <t>Commission Order</t>
  </si>
  <si>
    <t>7) SCE shall make no adjustments to recorded labor amounts related to non-labor labor and/or Indirect labor in Schedule 19.</t>
  </si>
  <si>
    <t>5) SCE shall make no adjustments to recorded labor amounts related to non-labor labor and/or Indirect labor in Schedule 20.</t>
  </si>
  <si>
    <t>Investment Tax Credit Flowed Through</t>
  </si>
  <si>
    <t>South Georgia Income Tax Adjustment</t>
  </si>
  <si>
    <t>compared to the Retail Base TRR.  This difference is attributable to differences in the following six items,</t>
  </si>
  <si>
    <t>These six items may affect the Base TRR by affecting Rate Base, or affecting an annual expense (amortization).</t>
  </si>
  <si>
    <t>d) Total Expense Difference</t>
  </si>
  <si>
    <t>Partial Year True Up Allocation Factors calculated based on three years (2008-2010) of monthly SCE retail base transmission revenues.</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</si>
  <si>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</si>
  <si>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13-Month Average Value Account 154:</t>
  </si>
  <si>
    <t>13-Month Average Value:</t>
  </si>
  <si>
    <t>Long Term Debt Advances from Associated Companies -- Account 223</t>
  </si>
  <si>
    <t>75% of O&amp;M and A&amp;G in Prior Year TRR:</t>
  </si>
  <si>
    <t>Total all Substations (L7  + L8 + L9)</t>
  </si>
  <si>
    <t>ROE at end of Prior Year</t>
  </si>
  <si>
    <t>In Effect</t>
  </si>
  <si>
    <t xml:space="preserve">Days ROE </t>
  </si>
  <si>
    <t>Commission Decisions approving ROE:</t>
  </si>
  <si>
    <t>See Line e below</t>
  </si>
  <si>
    <t>Calculation of weighted average Cost of Capital Rate in Prior Year:</t>
  </si>
  <si>
    <t>h</t>
  </si>
  <si>
    <t>i</t>
  </si>
  <si>
    <t>j</t>
  </si>
  <si>
    <t>Calculation of Equity Rate of Return Including Common and Preferred Stock:</t>
  </si>
  <si>
    <t>See Instruction 1</t>
  </si>
  <si>
    <t>If ROE does not change during year, then attribute all days to Line a "ROE at end of Prior Year" and none to "ROE at start of PY"</t>
  </si>
  <si>
    <t>Acct</t>
  </si>
  <si>
    <t>Wtd. Avg. ROE in Prior Year</t>
  </si>
  <si>
    <t>Wtd. Cost of Long Term Debt</t>
  </si>
  <si>
    <t>Wtd.Cost of Preferred Stock</t>
  </si>
  <si>
    <t>Wtd.Cost of Common Stock</t>
  </si>
  <si>
    <t>3) Schedule 19 "Percent ISO" Allocation Factors (Input values are from SCE Records)</t>
  </si>
  <si>
    <t>ROE Adder $ = (Project CWIP Amount/$1,000,000) * IREF * (ROE Adder % / 1%)</t>
  </si>
  <si>
    <t>3) The load forecast used in Schedule 32 shall be for the calendar year in which the rates are to be in effect.</t>
  </si>
  <si>
    <t xml:space="preserve">1) Any amount of "Provision for Doubtful Accounts" costs. </t>
  </si>
  <si>
    <t>2) Any amount of "Accounting Suspense" costs.</t>
  </si>
  <si>
    <t>g) Exclude the following costs included in any account 920-935:</t>
  </si>
  <si>
    <t>4) Any amount of costs recovered 100% through California Public Utilities Commission ("CPUC") rates.</t>
  </si>
  <si>
    <t>ROE start of Prior Year</t>
  </si>
  <si>
    <t>Beginning of Prior Year</t>
  </si>
  <si>
    <t>End of Prior Year</t>
  </si>
  <si>
    <t xml:space="preserve">1) Amounts on Line 13 from corresponding account Schedule 7, column 2.  </t>
  </si>
  <si>
    <t xml:space="preserve">The amounts for each month on the remaining lines are calculated by summing the following values: </t>
  </si>
  <si>
    <t xml:space="preserve">c) The previous month balance of the Transmission Plant - ISO amounts on Lines 1-13.  </t>
  </si>
  <si>
    <t xml:space="preserve">For instance, the amount for May of the Prior Year (on Line 6) for Account 353 (Column 5) is the sum of the following values: </t>
  </si>
  <si>
    <t>The amounts for each month on the remaining lines are calculated by summing the following values:</t>
  </si>
  <si>
    <t>c) Balances for Transmission Depreciation Reserve (on Lines 1 to 13) for the previous month.</t>
  </si>
  <si>
    <t>For instance, the amount for May of the Prior Year (on Line 6) for Account 353 (Column 5) is the sum of the following values:</t>
  </si>
  <si>
    <t xml:space="preserve">Days in </t>
  </si>
  <si>
    <t>Prior Year FF Factor:</t>
  </si>
  <si>
    <t>Prior Year  U Factor:</t>
  </si>
  <si>
    <t>on the number of days each FF and U factor was in effect during the Prior Year at issue.</t>
  </si>
  <si>
    <t>during the Prior Year in "Days in Prior Year" Column.</t>
  </si>
  <si>
    <t>and note period of time for which each applies in "From" and "To" columns, and number of days each was in effect</t>
  </si>
  <si>
    <t>Calculation or Source</t>
  </si>
  <si>
    <t>Avg. of Sum of Cols. 1 and 2 below</t>
  </si>
  <si>
    <t>Sum of Column 3 below</t>
  </si>
  <si>
    <t xml:space="preserve">  Commission Order</t>
  </si>
  <si>
    <t xml:space="preserve"> Granting Approval of </t>
  </si>
  <si>
    <t xml:space="preserve">  Regulatory Liability</t>
  </si>
  <si>
    <t>The Base Transmission Revenues shown in Column 1 shall be reduced to reflect any retail customer refunds provided by SCE associated with the</t>
  </si>
  <si>
    <t>formula transmission rate that are made through a CPUC-authorized mechanism.</t>
  </si>
  <si>
    <t>Amounts on Line 1 must match corresponding account Schedule 7, Column 2 for previous year.</t>
  </si>
  <si>
    <t>shall match amounts on Line 13 in previous year Annual Update.</t>
  </si>
  <si>
    <t xml:space="preserve">Cost Adjustment </t>
  </si>
  <si>
    <t xml:space="preserve">4) The Cost Adjustment component may be included as provided in the Tariff protocols. </t>
  </si>
  <si>
    <t>(Instructions 1&amp;2)</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</si>
  <si>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</si>
  <si>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</si>
  <si>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</si>
  <si>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</si>
  <si>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</si>
  <si>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A:Total Electric Wages and Salaries</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</si>
  <si>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</si>
  <si>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</si>
  <si>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</si>
  <si>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</si>
  <si>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</si>
  <si>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</si>
  <si>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</si>
  <si>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</si>
  <si>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</si>
  <si>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</si>
  <si>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G:Total Gas Plant In Service</t>
  </si>
  <si>
    <t>FF1 201.8d</t>
  </si>
  <si>
    <t>H:Total Water Plant in Service</t>
  </si>
  <si>
    <t>FF1 201.8e</t>
  </si>
  <si>
    <t>I:Total Electric, Gas, and Water Plant In Service</t>
  </si>
  <si>
    <t>F+G+H</t>
  </si>
  <si>
    <t>J:Plant Percentage "Gas, Generation, or Other"</t>
  </si>
  <si>
    <t>(G+H) / I</t>
  </si>
  <si>
    <t>=C7-C9</t>
  </si>
  <si>
    <t>Corporate</t>
  </si>
  <si>
    <t>Overheads</t>
  </si>
  <si>
    <t>AFUDC</t>
  </si>
  <si>
    <t xml:space="preserve">Cost of </t>
  </si>
  <si>
    <t>ISO Corp OH Rate</t>
  </si>
  <si>
    <t>Cost of Removal Rate</t>
  </si>
  <si>
    <t>ISO AFUDC Rate</t>
  </si>
  <si>
    <t>C2*C3</t>
  </si>
  <si>
    <t>Accrual</t>
  </si>
  <si>
    <t>Plant Balance</t>
  </si>
  <si>
    <t>Sum of Depreciation Expense</t>
  </si>
  <si>
    <t>Composite Depreciation Rate</t>
  </si>
  <si>
    <t>4) ISO Corporate Overhead Loader</t>
  </si>
  <si>
    <t>7) Calculation of ISO Depreciation Rate</t>
  </si>
  <si>
    <t>5) ISO Cost of Removal Percent</t>
  </si>
  <si>
    <t>6) AFUDC Loader Rate</t>
  </si>
  <si>
    <t>2) Total Forecast Period CWIP Expenditures (see Note 1)</t>
  </si>
  <si>
    <t>Unloaded</t>
  </si>
  <si>
    <t xml:space="preserve">Total </t>
  </si>
  <si>
    <t>Prior Period</t>
  </si>
  <si>
    <t>Over Heads</t>
  </si>
  <si>
    <t>Expenditures</t>
  </si>
  <si>
    <t>CWIP Exp</t>
  </si>
  <si>
    <t>Plant Adds</t>
  </si>
  <si>
    <t>CWIP Closed</t>
  </si>
  <si>
    <t>Closed to PIS</t>
  </si>
  <si>
    <t>Period CWIP</t>
  </si>
  <si>
    <t>Incremental CWIP</t>
  </si>
  <si>
    <t>3) Forecast Period CWIP Expenditures by Project (see Note 1)</t>
  </si>
  <si>
    <t>3a) Project:</t>
  </si>
  <si>
    <t>= C1 + C2</t>
  </si>
  <si>
    <t>= Prior Month C7
+ C3 - C4 - C6</t>
  </si>
  <si>
    <t>= C7 - 
Dec Prior Year C7</t>
  </si>
  <si>
    <t>3b) Project:</t>
  </si>
  <si>
    <t>3c) Project:</t>
  </si>
  <si>
    <t>3d) Project:</t>
  </si>
  <si>
    <t>3e) Project:</t>
  </si>
  <si>
    <t>3f) Project:</t>
  </si>
  <si>
    <t>Unload</t>
  </si>
  <si>
    <t>3g) Project:</t>
  </si>
  <si>
    <t>3h) Project:</t>
  </si>
  <si>
    <t>3i) Project:</t>
  </si>
  <si>
    <t>3j) Project:</t>
  </si>
  <si>
    <t>3) If Commission approval is granted to include CWIP in Rate Base for additional projects, include additional tables for each of those additional projects.</t>
  </si>
  <si>
    <t>during the Rate Year, incremental to the year-end Prior Year amount.</t>
  </si>
  <si>
    <t>It is calculated on a 13-Month Average Basis during the Rate Year.</t>
  </si>
  <si>
    <t>1) Total Plant Additions Forecast (See Note 1)</t>
  </si>
  <si>
    <t>Loaded</t>
  </si>
  <si>
    <t>Eligible Plant</t>
  </si>
  <si>
    <t>2) Incentive Plant Forecast (See Note 1)</t>
  </si>
  <si>
    <t>N/A</t>
  </si>
  <si>
    <t>= Prior Month C7
+C1+C3</t>
  </si>
  <si>
    <t>3) Non-Incentive Plant Forecast (See Note 1)</t>
  </si>
  <si>
    <t>= Prior Month C2
+C2+C5+C6</t>
  </si>
  <si>
    <t>December Prior Year plant balances and accrual rates are as shown on Schedule 17 Depreciation</t>
  </si>
  <si>
    <t>Current Authorized PBOPs Expense Amount:</t>
  </si>
  <si>
    <t>Unfunded Reserves</t>
  </si>
  <si>
    <t>(Line 17, Col 3)</t>
  </si>
  <si>
    <t>Unfunded</t>
  </si>
  <si>
    <t>Reserves</t>
  </si>
  <si>
    <t>Provision for Injuries and Damages</t>
  </si>
  <si>
    <t>Provision for Vac/Sick Leave</t>
  </si>
  <si>
    <t>Provision for Supplemental Executive Retirement Plan</t>
  </si>
  <si>
    <t>(Line 14 + Line 15 + Line 16)</t>
  </si>
  <si>
    <t>Calculations</t>
  </si>
  <si>
    <t>BOY/EOY</t>
  </si>
  <si>
    <t>Injuries and Damages - Acct. 2251010</t>
  </si>
  <si>
    <t>Company Records - Input (Negative)</t>
  </si>
  <si>
    <t>(27-Allocators, Line 9)</t>
  </si>
  <si>
    <t>ISO Transmission Rate Base Applicable</t>
  </si>
  <si>
    <t>Vacation Leave</t>
  </si>
  <si>
    <t>Vacation and Personal Time Accruals - Acct. 2350080</t>
  </si>
  <si>
    <t>Supplemental Executive Retirement Plan</t>
  </si>
  <si>
    <t>Times:</t>
  </si>
  <si>
    <t>Applicable Rate Base Percentage</t>
  </si>
  <si>
    <t>Sub-Total Supplemental Executive Retirement Plan</t>
  </si>
  <si>
    <t>Unfunded Reserves (Average BOY/EOY):</t>
  </si>
  <si>
    <t>Unfunded Reserves (EOY):</t>
  </si>
  <si>
    <t>(Line 17, Col 2)</t>
  </si>
  <si>
    <t>Calculation of Unfunded Reserves</t>
  </si>
  <si>
    <t>excluded.  For one-time costs, pre-in-service and post-in-service interest is included.</t>
  </si>
  <si>
    <t xml:space="preserve">Interest relates to refund of facility and one-time payments by generator.  For facility costs, pre-in-service date interest is  </t>
  </si>
  <si>
    <t>Total days in year:</t>
  </si>
  <si>
    <t>((Line a ROE * Line a days) + (Line b ROE * Line b days)) / Total Days in Year</t>
  </si>
  <si>
    <t>SCE Records and Workpapers</t>
  </si>
  <si>
    <t>Remaining A&amp;G after exclusions &amp; NOIC Adjustment:</t>
  </si>
  <si>
    <t>NOIC</t>
  </si>
  <si>
    <t xml:space="preserve">Note 2: Non-Officer Incentive Compensation ("NOIC") Adjustment </t>
  </si>
  <si>
    <t xml:space="preserve">Adjust NOIC by excluding accrued NOIC Amount and replacing with the </t>
  </si>
  <si>
    <t>Accrued NOIC Amount:</t>
  </si>
  <si>
    <t>Actual A&amp;G NOIC payout:</t>
  </si>
  <si>
    <t>2) Fill out "Itemization of Exclusions" table for all input cells. NOIC amount in</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</si>
  <si>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</si>
  <si>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</si>
  <si>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</si>
  <si>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Transmission NOIC (Note 3)</t>
  </si>
  <si>
    <t>Distribution NOIC (Note 3)</t>
  </si>
  <si>
    <t>Total TDBU NOIC</t>
  </si>
  <si>
    <t>Transmission NOIC (Note 4)</t>
  </si>
  <si>
    <t>Distribution NOIC (Note 4)</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</si>
  <si>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</si>
  <si>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</si>
  <si>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</si>
  <si>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</si>
  <si>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</si>
  <si>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</si>
  <si>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3) Total TDBU NOIC is allocated to Transmission and Distribution in proportion to labor in the respective functions.  Transmission NOIC ("Non-Officer Incentive Compensation") equals Total TDBU NOIC times</t>
  </si>
  <si>
    <t>dividing adopted Uncollectibles expense by Total Operating revenues less Uncollectibles Expense.  Resulting FF &amp; U</t>
  </si>
  <si>
    <t>3) Enter ISO portion of plant in Column 2, "Transmission Plant - ISO, or "Distribution Plant - ISO".</t>
  </si>
  <si>
    <t>17a</t>
  </si>
  <si>
    <t>17b</t>
  </si>
  <si>
    <t>17c</t>
  </si>
  <si>
    <t>17d</t>
  </si>
  <si>
    <t>17e</t>
  </si>
  <si>
    <t>17f</t>
  </si>
  <si>
    <t>17g</t>
  </si>
  <si>
    <t>17h</t>
  </si>
  <si>
    <t>17i</t>
  </si>
  <si>
    <t>17j</t>
  </si>
  <si>
    <t>17k</t>
  </si>
  <si>
    <t>17l</t>
  </si>
  <si>
    <t>17m</t>
  </si>
  <si>
    <t>c) Reliability Services Revenue.</t>
  </si>
  <si>
    <t>b) Transmission Access Charge Balancing Account Adjustment.</t>
  </si>
  <si>
    <t xml:space="preserve">a) Transmission Revenue Balancing Account Adjustment revenue. </t>
  </si>
  <si>
    <t>Mono Power Company is a subsidiary company.  Net Earnings are reported on Acct 418.1, pg 225.11e.  Revenues and costs shall be non-ISO.</t>
  </si>
  <si>
    <t>SCE Capital Company is a subsidiary company.  Net Earnings are reported on Acct 418.1, pg 225.23e.  Revenues and costs shall be non-ISO.</t>
  </si>
  <si>
    <t>Sum of Column D, Line 43 and Column G, Line 32</t>
  </si>
  <si>
    <t>Accrual Rate</t>
  </si>
  <si>
    <t>18 Dep Rates L1</t>
  </si>
  <si>
    <t>18 Dep Rates L2</t>
  </si>
  <si>
    <t>18 Dep Rates L3</t>
  </si>
  <si>
    <t>18 Dep Rates L4</t>
  </si>
  <si>
    <t>18 Dep Rates L5</t>
  </si>
  <si>
    <t>18 Dep Rates L6</t>
  </si>
  <si>
    <t>18 Dep Rates L7</t>
  </si>
  <si>
    <t>18 Dep Rates L8</t>
  </si>
  <si>
    <t>18 Dep Rates L9</t>
  </si>
  <si>
    <t>18 Dep Rates L10</t>
  </si>
  <si>
    <t>4j</t>
  </si>
  <si>
    <t>Uneconomic Line Extension</t>
  </si>
  <si>
    <t>4k</t>
  </si>
  <si>
    <t>Opt Out CARE-Res-Ini</t>
  </si>
  <si>
    <t>4l</t>
  </si>
  <si>
    <t>Opt Out CARE-Res-Mo</t>
  </si>
  <si>
    <t>4m</t>
  </si>
  <si>
    <t>Opt Out NonCARE-Res-Ini</t>
  </si>
  <si>
    <t>4n</t>
  </si>
  <si>
    <t>Opt Out NonCARE-Res-Mo</t>
  </si>
  <si>
    <t>10x</t>
  </si>
  <si>
    <t>Op Misc Land/Fac Rev</t>
  </si>
  <si>
    <t>10y</t>
  </si>
  <si>
    <t>T-Unauth Pole Rent</t>
  </si>
  <si>
    <t>10z</t>
  </si>
  <si>
    <t>T-P&amp;E Fees</t>
  </si>
  <si>
    <t>Grant Amortization</t>
  </si>
  <si>
    <t>GHG Allowance Revenue</t>
  </si>
  <si>
    <t>12ccc</t>
  </si>
  <si>
    <t>12ddd</t>
  </si>
  <si>
    <t xml:space="preserve">1) Forecast Period is the calendar year two years after the Prior Year (i.e., PY+2).   </t>
  </si>
  <si>
    <t>2) Sum of project specific values from lines 55-79, 81-105, 107-131, 133-157, 159-183, 185-209, 211-235, 237-261, 263-287, 289-313,…</t>
  </si>
  <si>
    <t>2) Enter forecast project specific values on lines 55-79, 81-105, 107-131, 133-157, 159-183, 185-209, 211-235, 237-261, 263-287, 289-313,...</t>
  </si>
  <si>
    <t>= C1 * 
16-Plnt Add Line 74</t>
  </si>
  <si>
    <t>= (C4 - C5) *
16-Plnt Add Line 74</t>
  </si>
  <si>
    <t>C4 10-CWIP
L30-53</t>
  </si>
  <si>
    <t>C5 10-CWIP
L30-53</t>
  </si>
  <si>
    <t>C6 10-CWIP
L30-53</t>
  </si>
  <si>
    <t>= Prior Month C7 
* L91/12</t>
  </si>
  <si>
    <t>=C11* (1-L75)
* (1+L74+L76)</t>
  </si>
  <si>
    <t>2) Sum of Incentive Plant Calculations and Non-Incentive Calculations, lines 26-49 and lines 50-73</t>
  </si>
  <si>
    <t>Sales Forecast Billing Determinants:</t>
  </si>
  <si>
    <t>= Retail Base TRR * Line1:Col1</t>
  </si>
  <si>
    <t>Applies to supplemental kW demand charges</t>
  </si>
  <si>
    <t>Applies to contracted standby kW demand charges</t>
  </si>
  <si>
    <t>Recorded Billing Determinants: to be applied to the Supplemental kW demand charges, and the Contracted Standby kW demand charges</t>
  </si>
  <si>
    <t>GWh</t>
  </si>
  <si>
    <t>Maximum demand - MW</t>
  </si>
  <si>
    <t>Standby demand - MW</t>
  </si>
  <si>
    <t>Total energy rate - $/kWh</t>
  </si>
  <si>
    <t>Total demand rate - $/kW-month</t>
  </si>
  <si>
    <r>
      <t>1b</t>
    </r>
    <r>
      <rPr>
        <b/>
        <vertAlign val="subscript"/>
        <sz val="10"/>
        <rFont val="Arial"/>
        <family val="2"/>
      </rPr>
      <t>2</t>
    </r>
  </si>
  <si>
    <t>from Line1:Col2</t>
  </si>
  <si>
    <t>9a</t>
  </si>
  <si>
    <t>9b</t>
  </si>
  <si>
    <t>9c</t>
  </si>
  <si>
    <t>9d</t>
  </si>
  <si>
    <t>= Line16:Col6 * 0.746</t>
  </si>
  <si>
    <t>= Line16:Col7 * 0.746</t>
  </si>
  <si>
    <t>Revenue associated with Supplemental Demand or Energy</t>
  </si>
  <si>
    <t>Standby Demand Revenue</t>
  </si>
  <si>
    <t>Supplemental Demand Charge - $/kW-month</t>
  </si>
  <si>
    <t>Contracted standby kW demand Charge - $/kW-month</t>
  </si>
  <si>
    <t>Supplemental Demand Charge - $/HP-month</t>
  </si>
  <si>
    <t>Contracted standby kW demand Charge - $/HP-month</t>
  </si>
  <si>
    <t>16a</t>
  </si>
  <si>
    <t>16b</t>
  </si>
  <si>
    <t>16c</t>
  </si>
  <si>
    <t>16d</t>
  </si>
  <si>
    <t>16e</t>
  </si>
  <si>
    <t>16f</t>
  </si>
  <si>
    <t>16g</t>
  </si>
  <si>
    <t>16h</t>
  </si>
  <si>
    <t>16i</t>
  </si>
  <si>
    <t>16j</t>
  </si>
  <si>
    <t>16k</t>
  </si>
  <si>
    <t>16l</t>
  </si>
  <si>
    <t>16m</t>
  </si>
  <si>
    <t>16n</t>
  </si>
  <si>
    <t>16o</t>
  </si>
  <si>
    <t>1) See Col 9 of Lines 35a, 35b, 35c, etc.</t>
  </si>
  <si>
    <t>26a</t>
  </si>
  <si>
    <t>26b</t>
  </si>
  <si>
    <t>26c</t>
  </si>
  <si>
    <t>26d</t>
  </si>
  <si>
    <t>26e</t>
  </si>
  <si>
    <t>26f</t>
  </si>
  <si>
    <t>26g</t>
  </si>
  <si>
    <t>26h</t>
  </si>
  <si>
    <t>26i</t>
  </si>
  <si>
    <t>26j</t>
  </si>
  <si>
    <t>26k</t>
  </si>
  <si>
    <t>26l</t>
  </si>
  <si>
    <t>26m</t>
  </si>
  <si>
    <t>26n</t>
  </si>
  <si>
    <t>26o</t>
  </si>
  <si>
    <t>= Line35:(Col1+Col2+Col3)/3</t>
  </si>
  <si>
    <t>from Line1:Col3</t>
  </si>
  <si>
    <t>3-Year Average</t>
  </si>
  <si>
    <t>12-CP Allocation factors</t>
  </si>
  <si>
    <t>35a</t>
  </si>
  <si>
    <t>35b</t>
  </si>
  <si>
    <t>35c</t>
  </si>
  <si>
    <t>35d</t>
  </si>
  <si>
    <t>35e</t>
  </si>
  <si>
    <t>35f</t>
  </si>
  <si>
    <t>35g</t>
  </si>
  <si>
    <t>35h</t>
  </si>
  <si>
    <t>35i</t>
  </si>
  <si>
    <t>35j</t>
  </si>
  <si>
    <t>35k</t>
  </si>
  <si>
    <t>35l</t>
  </si>
  <si>
    <t>35m</t>
  </si>
  <si>
    <t>35n</t>
  </si>
  <si>
    <t>35o</t>
  </si>
  <si>
    <t>1-BaseTRR WS, Line 86</t>
  </si>
  <si>
    <t>Income Taxes = [((RB * ER) + D) * (CTR/(1 – CTR))]  + CO/(1 – CTR)</t>
  </si>
  <si>
    <t>Actual non-capitalized NOIC Payouts:</t>
  </si>
  <si>
    <t>actual non-capitalized A&amp;G NOIC payout.</t>
  </si>
  <si>
    <t>Forecast 12-CP Retail Load:</t>
  </si>
  <si>
    <t>Full Development of Retail and Wholesale Base TRRs</t>
  </si>
  <si>
    <t>Presentation of Prior Year CWIP and Forecast Period Incremental CWIP</t>
  </si>
  <si>
    <t>True Up TRR without Franchise Fees and Uncollectibles Expense included:</t>
  </si>
  <si>
    <t>k</t>
  </si>
  <si>
    <t xml:space="preserve">b) EOY General and Intangible Depreciation Reserve </t>
  </si>
  <si>
    <t>3) Devers to Col. River</t>
  </si>
  <si>
    <t>7, 17</t>
  </si>
  <si>
    <t>Straddle Subs (Cross 200 kV boundary):</t>
  </si>
  <si>
    <t>Gross Plant that can directly be determined to be HV or LV:</t>
  </si>
  <si>
    <t>B) Return on Capital</t>
  </si>
  <si>
    <t>C) Income Taxes</t>
  </si>
  <si>
    <t>D) True Up TRR Calculation</t>
  </si>
  <si>
    <t>E) Calculation of final True Up TRR with Franchise Fees and Uncollectibles Expenses</t>
  </si>
  <si>
    <t>AFCRCWIP = CLTD  + (COS * (1/(1 - CTR)))</t>
  </si>
  <si>
    <t xml:space="preserve">Year </t>
  </si>
  <si>
    <t>= Sum (Cols. 2-14)/13</t>
  </si>
  <si>
    <t>Reacquired Bonds -- Account 222 (Note 2): enter - of FF1</t>
  </si>
  <si>
    <t>4o</t>
  </si>
  <si>
    <t>Conn-Charge - Residential</t>
  </si>
  <si>
    <t>4p</t>
  </si>
  <si>
    <t>Conn-Charge - Non-Residential</t>
  </si>
  <si>
    <t>4q</t>
  </si>
  <si>
    <t>Conn-Charge - At Pole</t>
  </si>
  <si>
    <t>6-PlantInService Line 15.</t>
  </si>
  <si>
    <t>6-PlantInService Line 16.</t>
  </si>
  <si>
    <t xml:space="preserve"> and the American Reinvestment Recovery Act for the Tehachapi Wind Energy Storage Project.</t>
  </si>
  <si>
    <t>5) Only exclude if not already excluded in Schedule 20.</t>
  </si>
  <si>
    <t>LV Substations (Less Than 200kV)</t>
  </si>
  <si>
    <t>(Line 24)</t>
  </si>
  <si>
    <t>(Line 29)</t>
  </si>
  <si>
    <t>(Line 36)</t>
  </si>
  <si>
    <t>(Line 22 x Line 23)</t>
  </si>
  <si>
    <t>(Line 27 x Line 28)</t>
  </si>
  <si>
    <t>(Line 32 x Line 33)</t>
  </si>
  <si>
    <t>(Line 34 x Line 35)</t>
  </si>
  <si>
    <t>Data Network Systems</t>
  </si>
  <si>
    <t>Telecom Power Systems</t>
  </si>
  <si>
    <t>NEM Adjustment</t>
  </si>
  <si>
    <t>NEM GWh</t>
  </si>
  <si>
    <t>Billing Determinants with NEM Adjustment</t>
  </si>
  <si>
    <t>Note 12</t>
  </si>
  <si>
    <t>Note 13</t>
  </si>
  <si>
    <t>2) Sales forecast in total Giga-watt hours usage, represents the customers' total annual GWh usage.  Based on same forecast as Gross Load forecast in Schedule 32, Line 1, but at customer meter level.</t>
  </si>
  <si>
    <t>Note 8</t>
  </si>
  <si>
    <t>Sales Forecast (Not Including Backup)</t>
  </si>
  <si>
    <t>Sales Forecast (Backup)</t>
  </si>
  <si>
    <t>= (Line1:Col3 + Line1:Col4) - Line1:Col5</t>
  </si>
  <si>
    <t>= Line1:Col2 / (Line1:Col8*10^6)</t>
  </si>
  <si>
    <t>= Line1:Col2 / ((Line1:Col6 + Line1:Col7)*10^3)</t>
  </si>
  <si>
    <t xml:space="preserve"> GWh</t>
  </si>
  <si>
    <t>Backup GWh</t>
  </si>
  <si>
    <t>Notes 9,10</t>
  </si>
  <si>
    <r>
      <t>2) Determination of</t>
    </r>
    <r>
      <rPr>
        <b/>
        <strike/>
        <sz val="12"/>
        <rFont val="Arial"/>
        <family val="2"/>
      </rPr>
      <t xml:space="preserve"> </t>
    </r>
    <r>
      <rPr>
        <b/>
        <sz val="12"/>
        <rFont val="Arial"/>
        <family val="2"/>
      </rPr>
      <t>Demand Rates for Large Power (TOU-8) Rate Groups</t>
    </r>
  </si>
  <si>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</si>
  <si>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</si>
  <si>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</si>
  <si>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</si>
  <si>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</si>
  <si>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</si>
  <si>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</si>
  <si>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</si>
  <si>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</si>
  <si>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 Col 2 + Col 3</t>
  </si>
  <si>
    <t>= Line1:Col2 - Line16:Col3</t>
  </si>
  <si>
    <t>= Line16:Col7 * Line1:Col7 *10^3</t>
  </si>
  <si>
    <t>= Line16:Col2 / (Line1:Col8 * 10^6)</t>
  </si>
  <si>
    <t>= Line16:Col2 / Line1:Col6 / 10^3</t>
  </si>
  <si>
    <t>from Line9:Col3</t>
  </si>
  <si>
    <t>Note 14</t>
  </si>
  <si>
    <t>Total Revenues</t>
  </si>
  <si>
    <t>Note 15</t>
  </si>
  <si>
    <t>Note 16</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</si>
  <si>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</si>
  <si>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</si>
  <si>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</si>
  <si>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</si>
  <si>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</si>
  <si>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</si>
  <si>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</si>
  <si>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</si>
  <si>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</si>
  <si>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</si>
  <si>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</si>
  <si>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</si>
  <si>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t>
    </r>
    <r>
      <rPr>
        <sz val="10"/>
        <rFont val="Arial"/>
        <family val="2"/>
      </rPr>
      <t xml:space="preserve"> - Line16:Col3) / Line1b:Col12</t>
    </r>
    <r>
      <rPr>
        <sz val="10"/>
        <rFont val="Arial"/>
        <family val="2"/>
      </rPr>
      <t xml:space="preserve"> / 10^3</t>
    </r>
  </si>
  <si>
    <r>
      <t>14) For the non TOU-8-Standby rate group, it is the minimum of Line16i:Col7, or the total demand rate in Line1:Col10</t>
    </r>
    <r>
      <rPr>
        <strike/>
        <sz val="10"/>
        <rFont val="Arial"/>
        <family val="2"/>
      </rPr>
      <t>9</t>
    </r>
  </si>
  <si>
    <t>15)  Applicable to time-of-use schedules within the GS-1 rate group</t>
  </si>
  <si>
    <t>from Line1:Col4</t>
  </si>
  <si>
    <t>= Col 7 + Col 8</t>
  </si>
  <si>
    <t>= Line35:(Col4*Col5/Col6*Col9)</t>
  </si>
  <si>
    <t>= Line35:(Col10 / total of Col10)</t>
  </si>
  <si>
    <t>Recorded GWh (Average)</t>
  </si>
  <si>
    <t>Standby Adjusted Sales Forecast - GWh</t>
  </si>
  <si>
    <t>Total Sales Forecast - GWh</t>
  </si>
  <si>
    <t xml:space="preserve">a) Attribute True Up TRR to months in the Prior Year (see Note #1) to determine "Monthly True Up TRR" for each month (see Note #2).  </t>
  </si>
  <si>
    <t>Including previous Annual Update Cumulative Excess or Shortfall in Revenue.</t>
  </si>
  <si>
    <t>One-Time</t>
  </si>
  <si>
    <t>Adjustments and</t>
  </si>
  <si>
    <t>Shortfall/Excess</t>
  </si>
  <si>
    <t>Revenue In</t>
  </si>
  <si>
    <t>Annual Update</t>
  </si>
  <si>
    <t>Previous Annual Update TU Adjustment:</t>
  </si>
  <si>
    <t>TU Adjustment without Projected Interest</t>
  </si>
  <si>
    <t>Projected Interest to Rate Year Mid-Point:</t>
  </si>
  <si>
    <t>Transmission Revenues: (Note 8)</t>
  </si>
  <si>
    <t>Enter with the same sign as in previous Annual Update.  If there is no Previous Annual Update True Up Adjustment, then enter $0.</t>
  </si>
  <si>
    <t xml:space="preserve">4) Enter any One Time Adjustments on Column 4, Line 12 (or other appropriate).  If SCE is owed enter as positive, if SCE is to return to customers enter as negative.  </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</si>
  <si>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</si>
  <si>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</si>
  <si>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</si>
  <si>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</si>
  <si>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 xml:space="preserve">7) If true up period is less than entire calendar year, then adjust calculation accordingly by including $0 Monthly True Up TRR and $0 </t>
  </si>
  <si>
    <t>6) "Cumulative Excess (-) or Shortfall (+) in Revenue wo Interest for Current Month" is, beginning for the January month,</t>
  </si>
  <si>
    <t>the amount in Column 9 for previous month plus the current month amount in Column 5.  For the first December, it is the amount in Column 5.</t>
  </si>
  <si>
    <t>No interest is applied for the first December.</t>
  </si>
  <si>
    <t>8) Only provide if formula was in effect during Prior Year.</t>
  </si>
  <si>
    <t>9) Only include Base Transmission Revenue attributable to this formula transmission rate.</t>
  </si>
  <si>
    <t>10) Other Transmission Revenue includes the following:</t>
  </si>
  <si>
    <t>a) Depreciation Expense for May of the Prior Year (on Line 44, Column 5);</t>
  </si>
  <si>
    <t>c) The balances for Transmission Depreciation Reserve for April of the Prior Year (on Line 5, column 5).</t>
  </si>
  <si>
    <t>E: Exclude amount of costs transfered to account from A&amp;G Account 920 pursuant to Order 668.</t>
  </si>
  <si>
    <t>F: Excludes shareholder funded costs.</t>
  </si>
  <si>
    <t>FF1 263 or 263.x (see note to left)</t>
  </si>
  <si>
    <t xml:space="preserve">1) Any amount of "Sub-Total Local Taxes" or "Payroll Taxes Expense" may be excluded if appropriate with the provision of a workpaper showing the </t>
  </si>
  <si>
    <t>reason for the exclusion and the amount of the exclusion.</t>
  </si>
  <si>
    <t>4) Cost Adjustment may be included as provided in the Tariff protocols.</t>
  </si>
  <si>
    <t>Line 3 - Line 1</t>
  </si>
  <si>
    <t>Line 6 - Line 4</t>
  </si>
  <si>
    <t>Line 10 - Line 8</t>
  </si>
  <si>
    <t>2) High Voltage Utility-Specific Rate</t>
  </si>
  <si>
    <t>3) HV Existing Contracts Access Charge</t>
  </si>
  <si>
    <t xml:space="preserve">1) Amounts on Line 13 based on current year Plant Study.  Amounts on Line 1 shall be based on previous year Plant Study, and </t>
  </si>
  <si>
    <t>f) EPRI and EEI Dues</t>
  </si>
  <si>
    <t>c) Calculation of EPRI and EEI Dues Exclusion</t>
  </si>
  <si>
    <t>EPRI Dues</t>
  </si>
  <si>
    <t>EEI Dues</t>
  </si>
  <si>
    <t>Sum of EPRI and EEI Dues</t>
  </si>
  <si>
    <t>EPRI and EEI Dues Exclusion</t>
  </si>
  <si>
    <t>5) EPRI and EEI Dues Exclusion</t>
  </si>
  <si>
    <t>6) Additional Expense Difference</t>
  </si>
  <si>
    <t>6) If appropriate, additional expenses may be excluded from the Wholesale Base TRR</t>
  </si>
  <si>
    <t>and the "Equity Rate of Return Including Preferred Stock" on Line 23 in the event that the ROE is revised during the Prior Year.  In this event,</t>
  </si>
  <si>
    <t>The difference between Retail and Wholesale Rate Base is attributable to the following four items,</t>
  </si>
  <si>
    <t>3) Add additional years past 2025 if necessary.</t>
  </si>
  <si>
    <t>HV Abandoned Plant (BOY):</t>
  </si>
  <si>
    <t>Abandoned Plant (BOY)</t>
  </si>
  <si>
    <t>Total: 12-Abandoned Plant Line 2, HV: 12-Abandoned Plant Line 5, LV = Total - HV</t>
  </si>
  <si>
    <t>B) Gross Plant Percentage for the Rate Year:</t>
  </si>
  <si>
    <t>In Service Additions in Rate Year:</t>
  </si>
  <si>
    <t>CWIP in Rate Year</t>
  </si>
  <si>
    <t>Total HV and LV Gross Plant for Rate Year</t>
  </si>
  <si>
    <t>See Note 1, c</t>
  </si>
  <si>
    <t>See Note 1, f</t>
  </si>
  <si>
    <t>Note 1, c</t>
  </si>
  <si>
    <t>Note 1, f</t>
  </si>
  <si>
    <t xml:space="preserve">1) </t>
  </si>
  <si>
    <t>Beginning of Year Amount</t>
  </si>
  <si>
    <t>FERC Form 1 Acct. 165 Recorded Amount:</t>
  </si>
  <si>
    <t>Prior Period Adjustment:</t>
  </si>
  <si>
    <t>BOY Prepayments Amount:</t>
  </si>
  <si>
    <t>End of Year Amount</t>
  </si>
  <si>
    <t>EOY Prepayments Amount:</t>
  </si>
  <si>
    <r>
      <t>563 -</t>
    </r>
    <r>
      <rPr>
        <strike/>
        <sz val="10"/>
        <rFont val="Arial"/>
        <family val="2"/>
      </rPr>
      <t xml:space="preserve"> </t>
    </r>
    <r>
      <rPr>
        <sz val="10"/>
        <rFont val="Arial"/>
        <family val="2"/>
      </rPr>
      <t>Overhead Line Expenses - Allocated</t>
    </r>
  </si>
  <si>
    <t>567 - Line Rents - Allocated</t>
  </si>
  <si>
    <t>571 - Maintenance of Overhead Lines - Allocated</t>
  </si>
  <si>
    <t>All Other Non 0% or 100% Transmission O&amp;M Accounts</t>
  </si>
  <si>
    <r>
      <t xml:space="preserve">582 - Station Expenses </t>
    </r>
    <r>
      <rPr>
        <strike/>
        <sz val="10"/>
        <color rgb="FFFF0000"/>
        <rFont val="Arial"/>
        <family val="2"/>
      </rPr>
      <t/>
    </r>
  </si>
  <si>
    <t xml:space="preserve">592 - Maintenance of Station Equipment </t>
  </si>
  <si>
    <t>560 - Operations Supervision and Engineering - Allocated</t>
  </si>
  <si>
    <t>561 Load Dispatch - Allocated</t>
  </si>
  <si>
    <t>561.500 Reliability Planning and Standards Development</t>
  </si>
  <si>
    <t>562 - Station Expenses - Allocated</t>
  </si>
  <si>
    <t>563 - Overhead Line Expenses - Allocated</t>
  </si>
  <si>
    <t>564 - Underground Line Expenses - Allocated</t>
  </si>
  <si>
    <t>565 - Transmission of Electricity by Others</t>
  </si>
  <si>
    <t>566 - Miscellaneous Transmission Expenses - Allocated</t>
  </si>
  <si>
    <t>568 - Maintenance Supervision and Engineering - Allocated</t>
  </si>
  <si>
    <t>569 - Maintenance of Structures - Allocated</t>
  </si>
  <si>
    <t xml:space="preserve">570 - Maintenance of Station Equipment - Allocated </t>
  </si>
  <si>
    <t xml:space="preserve">571 - Maintenance of Overhead Lines - Allocated </t>
  </si>
  <si>
    <t>572 - Maintenance of Underground Lines - Allocated</t>
  </si>
  <si>
    <t xml:space="preserve">573 - Maintenance of Miscellaneous Trans. Plant - Allocated </t>
  </si>
  <si>
    <t>27-Allocators Line 42</t>
  </si>
  <si>
    <t>27-Allocators Line 30</t>
  </si>
  <si>
    <t>27-Allocators Line 36</t>
  </si>
  <si>
    <t>27-Allocators Line 48</t>
  </si>
  <si>
    <t>3) South of Kramer</t>
  </si>
  <si>
    <t>4) West of Devers</t>
  </si>
  <si>
    <t>d) South of Kramer</t>
  </si>
  <si>
    <t>e) West of Devers</t>
  </si>
  <si>
    <t>Capitalization Rate (Note 3)</t>
  </si>
  <si>
    <t>1) Federal Source Statute:</t>
  </si>
  <si>
    <t>3) Capitalization Rate approved in:</t>
  </si>
  <si>
    <t>2) California State Source Statue:</t>
  </si>
  <si>
    <t>Income Tax Rates</t>
  </si>
  <si>
    <t>3) Any penalties or fines.</t>
  </si>
  <si>
    <t>Total Acct 242 - Miscellaneous Current and Accrued Liabilities</t>
  </si>
  <si>
    <t>Total Acct 252 - Customer Advances for Construction</t>
  </si>
  <si>
    <t>Line Miles Percent ISO</t>
  </si>
  <si>
    <t>Underground Line Miles Percent ISO</t>
  </si>
  <si>
    <t>((L1 FF Factor * L1 Days) + (L2 FF Factor * L2 Days))/(L1+L2 Days)</t>
  </si>
  <si>
    <t>((L3 U Factor * L3 Days) + (L4 U Factor * L4 Days))/(L3+L4 Days)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</si>
  <si>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</si>
  <si>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</si>
  <si>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</si>
  <si>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</si>
  <si>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</si>
  <si>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</si>
  <si>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A) Change in ISO Plant Balance December to December (See Note 9)</t>
  </si>
  <si>
    <t>B) Change in Incentive ISO Plant (See Note 10)</t>
  </si>
  <si>
    <t>C) Change in Non-Incentive ISO Plant (See Note 11)</t>
  </si>
  <si>
    <t>5) Other ISO Transmission Activity without Incentive Plant Activity (See Note 12):</t>
  </si>
  <si>
    <t>a) Other ISO Transmission Activity without Incentive Plant Activity on Lines 108-119 for the same month;</t>
  </si>
  <si>
    <t>b) ISO Incentive Plant Activity on Lines 67 to 78 for the same month; and</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</si>
  <si>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</si>
  <si>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</si>
  <si>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</si>
  <si>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t>
  </si>
  <si>
    <t>4) Includes recorded Transmission Plant-In-Service additions, retirements, transfers and adjustments.  From SCE internal acounting records.</t>
  </si>
  <si>
    <t>5) Includes balances for SCE Incentive Projects.</t>
  </si>
  <si>
    <t>7) Amount in matrix on lines 41 to 52 minus amount in matrix on lines 67 to 78</t>
  </si>
  <si>
    <t>8) Amount in "Total Transmission Activity Not Including Incentive Plant Activity" matrix divided by Total on Line 92 for each account/month.</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</si>
  <si>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</si>
  <si>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</si>
  <si>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</si>
  <si>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</si>
  <si>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</si>
  <si>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</si>
  <si>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</si>
  <si>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b) Other Transmission Activity (on Lines 55 to 66) for the same month; and </t>
  </si>
  <si>
    <t xml:space="preserve">b) Other Transmission Activity for May of the Prior Year (on Line 59, Column 5); and </t>
  </si>
  <si>
    <t>4) From 6-PlantInService, Lines 93 to 104.</t>
  </si>
  <si>
    <t>8) Multiply the montly "Total Transmission Allocation Factors" ratios found in Lines 40-51 by the</t>
  </si>
  <si>
    <t>"Other Activity" on Line 54.</t>
  </si>
  <si>
    <t>Electric Miscellaneous Intangible Plant - ISO</t>
  </si>
  <si>
    <t>General Plant - ISO</t>
  </si>
  <si>
    <t>Rent Rev NU-NonBRRBA</t>
  </si>
  <si>
    <t>Fac Cost N/U-BRRBA</t>
  </si>
  <si>
    <t>Intercon One Time</t>
  </si>
  <si>
    <t>EV Charging Revenue</t>
  </si>
  <si>
    <t>Energy Reltd Srv-TSP</t>
  </si>
  <si>
    <t>N/U Labor Mrkp-BRRBA</t>
  </si>
  <si>
    <t>4188720</t>
  </si>
  <si>
    <t>LCFS CR 411.8</t>
  </si>
  <si>
    <t>Miscellaneous Revenues - ISO</t>
  </si>
  <si>
    <t>15t</t>
  </si>
  <si>
    <t>4198132</t>
  </si>
  <si>
    <t>Radial Line Agreement-Base-Mojave Solr</t>
  </si>
  <si>
    <t>4198134</t>
  </si>
  <si>
    <t>Radial Line Agreement-O&amp;M-Mojave Solr</t>
  </si>
  <si>
    <t>4188716</t>
  </si>
  <si>
    <t>ISO Non-Refundable Interconnection Deposit</t>
  </si>
  <si>
    <t>ECS - Instrastate End User Revenue</t>
  </si>
  <si>
    <t>ECS - Intrastate End User Fees</t>
  </si>
  <si>
    <t>a) Line Miles</t>
  </si>
  <si>
    <t>b) Underground Line Miles</t>
  </si>
  <si>
    <t>c) Circuit Breakers</t>
  </si>
  <si>
    <t>d) Distribution Circuit Breakers</t>
  </si>
  <si>
    <t>4) Enter "Shortfall or Excess Revenue in Previous Annual Update" on Line 11, or other appropriate (from Previous Annual Update, Line 23, Column 9).</t>
  </si>
  <si>
    <t>1) Use weighted average (by time) of the Return on Equity in effect during the Prior Year in determining the "Cost of Capital Rate" on Line 19</t>
  </si>
  <si>
    <t>See Line f below</t>
  </si>
  <si>
    <t>Prior Year Authorized PBOPs Expense Amount:</t>
  </si>
  <si>
    <t>Authorized PBOPs Expense Amount during Prior Year</t>
  </si>
  <si>
    <t>in accordance with the tariff protocols.  Accordingly, any amount different than the authorized PBOPs expense</t>
  </si>
  <si>
    <t>during the Prior Year is excluded from account 926 (see note 3). Docket or Decision approving authorized PBOPs amount:</t>
  </si>
  <si>
    <t xml:space="preserve">to a Section 205 or 206 filing.  </t>
  </si>
  <si>
    <t>100%</t>
  </si>
  <si>
    <t>0%</t>
  </si>
  <si>
    <t>6)  See Column 9 for references to source of each  Percent ISO.</t>
  </si>
  <si>
    <t xml:space="preserve">a filing at the Commission.  Investment Tax Credit Flowed Through amount shall be negative $520,000 through the Prior Year of 2018, </t>
  </si>
  <si>
    <t>1) The monthly deferred tax amounts are equal to the ending ADIT balance minus the beginning ADIT balance, divided by 12 months.</t>
  </si>
  <si>
    <t>2) For January through December = previous month balance plus amount in Column 2.</t>
  </si>
  <si>
    <t>Col 5 / Tot. Days</t>
  </si>
  <si>
    <t>= Col 2 * Col 6</t>
  </si>
  <si>
    <t>Mthly Deferred</t>
  </si>
  <si>
    <t xml:space="preserve">Deferred </t>
  </si>
  <si>
    <t>Number of Days</t>
  </si>
  <si>
    <t>Prorata</t>
  </si>
  <si>
    <t xml:space="preserve">Monthly </t>
  </si>
  <si>
    <t>Annual Accumulated</t>
  </si>
  <si>
    <t>Future Test Period</t>
  </si>
  <si>
    <t>Tax Amount</t>
  </si>
  <si>
    <t>Tax Balance</t>
  </si>
  <si>
    <t>Days in Month</t>
  </si>
  <si>
    <t>Left in Period</t>
  </si>
  <si>
    <t>Percentages</t>
  </si>
  <si>
    <t>Prorata Amounts</t>
  </si>
  <si>
    <t>Prorata Calculation</t>
  </si>
  <si>
    <t>= Prior Month C9
 - C4 + C8</t>
  </si>
  <si>
    <t>Previous Annual Update:</t>
  </si>
  <si>
    <t>Instruction 3: Classify any ADIT line items relating to refunding and retirement of debt as Plant related (Column 5).</t>
  </si>
  <si>
    <t>a) Depreciation Expense (on Lines 27 to 38) for the same month;</t>
  </si>
  <si>
    <t>6) Monthly differences from previous matrix.  Other columns from SCE internal accounting records.</t>
  </si>
  <si>
    <t>1/8 (O&amp;M + A&amp;G)</t>
  </si>
  <si>
    <t>Mesa</t>
  </si>
  <si>
    <t>Alberhill</t>
  </si>
  <si>
    <t>8) Mesa</t>
  </si>
  <si>
    <t>9) Alberhill</t>
  </si>
  <si>
    <t>10) ELM Series Caps</t>
  </si>
  <si>
    <t>ELM Series Caps</t>
  </si>
  <si>
    <t>3k) Project:</t>
  </si>
  <si>
    <t>add additional projects below this line (See Instruction 3)</t>
  </si>
  <si>
    <t>FF1 263, Row 6, Column i</t>
  </si>
  <si>
    <t>FF1 263, Row 7, Column i</t>
  </si>
  <si>
    <t>FF1 263, Row 8, Column i</t>
  </si>
  <si>
    <t>FF1 263, Row 9, Column i</t>
  </si>
  <si>
    <t>Dec 2017</t>
  </si>
  <si>
    <t>FF1 322.156b</t>
  </si>
  <si>
    <t>Mesa:</t>
  </si>
  <si>
    <t>Alberhill:</t>
  </si>
  <si>
    <t>ELM Series Caps:</t>
  </si>
  <si>
    <t>10aa</t>
  </si>
  <si>
    <t>NEM 2.0</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</si>
  <si>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</si>
  <si>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</si>
  <si>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</si>
  <si>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</si>
  <si>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</si>
  <si>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</si>
  <si>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</si>
  <si>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</si>
  <si>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</si>
  <si>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 xml:space="preserve">                                                                                                                                                                                                                                                                                                                </t>
  </si>
  <si>
    <t>12eee</t>
  </si>
  <si>
    <t>Power Quality C&amp;I Customer Program</t>
  </si>
  <si>
    <t>Amortization of Excess Deferred Tax Liability</t>
  </si>
  <si>
    <t xml:space="preserve">calculated by this formula shall be entered as a One Time Adjustment on Schedule 3, ensuring that </t>
  </si>
  <si>
    <t>Beginning Deferred Tax Balance (Line 10, Col. 2)</t>
  </si>
  <si>
    <t>Ending Balance (Line 5, Col. 2)</t>
  </si>
  <si>
    <t>Net Excess/Deficient Deferred Tax Liability/Asset-2017 TCAJA</t>
  </si>
  <si>
    <t>and Net Excess Deferred Tax Liabilities</t>
  </si>
  <si>
    <t>4) The net excess/deficiency is derived from the deficiency arising in Account 190 offset by excesses in Accounts 282 and 283.</t>
  </si>
  <si>
    <t xml:space="preserve">5) SCE must submit a Federal Power Act Section 205 filing to obtain Commission approval prior to reflecting in rates any regulatory assets </t>
  </si>
  <si>
    <t>and liabilities arising from future tax changes.</t>
  </si>
  <si>
    <t>Line 805 is equal to Line 10, Column 2.  Lines 806 through 817 equal previous amount in Column 8, plus amount in Column 7.</t>
  </si>
  <si>
    <t>Transportation Electrification (TE) Energy Charge - $/kWh</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</si>
  <si>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</si>
  <si>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</si>
  <si>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Dec 2018</t>
  </si>
  <si>
    <t>Accumulated Deferred Income Taxes and Net Excess Deferred Tax Liabilities</t>
  </si>
  <si>
    <t>1) Summary of Accumulated Deferred Income Taxes and Net Excess Deferred Tax Liabilities</t>
  </si>
  <si>
    <t>a) End of Year Accumulated Deferred Income Taxes and Net Excess Deferred Tax Liabilities</t>
  </si>
  <si>
    <t>FF1 278, see Notes 4 and 5</t>
  </si>
  <si>
    <t>Average ADIT:</t>
  </si>
  <si>
    <t>Line 817, Column 8</t>
  </si>
  <si>
    <t>5) Tax Normalization Calculation Pursuant to Treas. Reg §1.167(l)-1(h)(6)</t>
  </si>
  <si>
    <r>
      <t>3) The</t>
    </r>
    <r>
      <rPr>
        <strike/>
        <sz val="10"/>
        <rFont val="Arial"/>
        <family val="2"/>
      </rPr>
      <t xml:space="preserve"> </t>
    </r>
    <r>
      <rPr>
        <sz val="10"/>
        <rFont val="Arial"/>
        <family val="2"/>
      </rPr>
      <t>average ADIT Balance is equal to the amount on Line 817, Column 8</t>
    </r>
  </si>
  <si>
    <t>Note 17</t>
  </si>
  <si>
    <t>17)  Applicable to the optional schedules that contain horse power charge such as PA-1</t>
  </si>
  <si>
    <t>18) GWh for TOU-8-Standby-SEC, TOU-8-Standby-PRI, TOU-8-Standby-SUB Rate Groups are placed in TOU-8-SEC, TOU-8-PRI, TOU-8-SUB Rate Groups respectively.</t>
  </si>
  <si>
    <t>Note 18</t>
  </si>
  <si>
    <t>4r</t>
  </si>
  <si>
    <t>4s</t>
  </si>
  <si>
    <t>Note 2, Note 4</t>
  </si>
  <si>
    <t>Note 1, Note 4</t>
  </si>
  <si>
    <t xml:space="preserve"> Long Term Debt Advances from Associated Companies (Note 2a):</t>
  </si>
  <si>
    <t>Other Long Term Debt -- Account 224 (Note 3):</t>
  </si>
  <si>
    <t>NOT USED</t>
  </si>
  <si>
    <t>Preferred Stock Amount -- Account 204 (Note 8):</t>
  </si>
  <si>
    <t xml:space="preserve">Unamortized Issuance Costs (Note 9): enter negative </t>
  </si>
  <si>
    <t>Net Gain (Loss) From Purchase and Tender Offers Note 10):</t>
  </si>
  <si>
    <t>Total Proprietary Capital (Note 11):</t>
  </si>
  <si>
    <t>Unappropriated Undist. Sub. Earnings -- Acct. 216.1 (Note 12): enter - of FF1</t>
  </si>
  <si>
    <t>Accumulated Other Comprehensive Loss -- Account 219 (Note 13): enter - of FF1</t>
  </si>
  <si>
    <t xml:space="preserve">2) </t>
  </si>
  <si>
    <t>3) Update notes 9 and 10 as necessary.</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</si>
  <si>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</si>
  <si>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</si>
  <si>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t>
  </si>
  <si>
    <t xml:space="preserve">5) </t>
  </si>
  <si>
    <t xml:space="preserve">6) </t>
  </si>
  <si>
    <t xml:space="preserve">7) </t>
  </si>
  <si>
    <t xml:space="preserve">8) Amount in Column 2 from FF1 112.3d, amount in Column 14 from FF1 112.3c, amounts in columns 3-13 from SCE internal records. </t>
  </si>
  <si>
    <t>9) Amounts in columns 2-14 are from SCE internal records.</t>
  </si>
  <si>
    <t>List associated securities, Face Amount, Issuance Date, Issuance Costs, Amortization Period, and Annual Amortization:</t>
  </si>
  <si>
    <t>Amortization</t>
  </si>
  <si>
    <t>Face</t>
  </si>
  <si>
    <t>Issuance</t>
  </si>
  <si>
    <t>Issue</t>
  </si>
  <si>
    <t>Date</t>
  </si>
  <si>
    <t>Costs</t>
  </si>
  <si>
    <t>(Years)</t>
  </si>
  <si>
    <t>Total Annual Amortization (sum of "Issues" listed above)</t>
  </si>
  <si>
    <t>10)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</si>
  <si>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</si>
  <si>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</si>
  <si>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</si>
  <si>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</si>
  <si>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11) Amount in Column 2 from FF1 112.16d, amount in Column 14 from FF1 112.16c, amounts in columns 3-13 from SCE internal records. </t>
  </si>
  <si>
    <t xml:space="preserve">12) Amount in Column 2 from FF1 112.12d (opposite sign), amount in Column 14 from FF1 112.12c (opposite sign), amounts in columns 3-13 from SCE internal records. </t>
  </si>
  <si>
    <t>13) Amount in Column 2 from FF1 112.15d (opposite sign), amount in Column 14 from FF1 112.15c (opposite sign), amounts in columns 3-13 from SCE internal records.</t>
  </si>
  <si>
    <t>Deleted Pursuant to Settlement Term #2</t>
  </si>
  <si>
    <t>Not Used</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</si>
  <si>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</si>
  <si>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</si>
  <si>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</si>
  <si>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</si>
  <si>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</si>
  <si>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</si>
  <si>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</si>
  <si>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</si>
  <si>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</si>
  <si>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</si>
  <si>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</si>
  <si>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</si>
  <si>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13a</t>
  </si>
  <si>
    <t>Interest on Debt to Associated Companies -- Account 430</t>
  </si>
  <si>
    <t>FF1 117.67c</t>
  </si>
  <si>
    <t>Long-Term Debt Cost Percentage</t>
  </si>
  <si>
    <t>Calculation of Cost of Preferred Stock</t>
  </si>
  <si>
    <t>Cost of Preferred Stock -- Account 437</t>
  </si>
  <si>
    <t xml:space="preserve">Enter positive </t>
  </si>
  <si>
    <t>FF1 118.29c</t>
  </si>
  <si>
    <t>Amortization of Net Gain (Loss)  From Purchases and Tender Offers</t>
  </si>
  <si>
    <t>Amortization Issuance Costs</t>
  </si>
  <si>
    <t>1) Not Used</t>
  </si>
  <si>
    <t>2) Not Used</t>
  </si>
  <si>
    <t>3) Total annual amortization associated with events listed in note 10 on 5-ROR-2.</t>
  </si>
  <si>
    <t>4) Total annual amortization associated with preferred equity issues listed in note 9 on 5-ROR-2.</t>
  </si>
  <si>
    <t>77a</t>
  </si>
  <si>
    <t>Prior Year Incentive Adder Reversal</t>
  </si>
  <si>
    <t>Negative of Line 77</t>
  </si>
  <si>
    <t xml:space="preserve">3) No change in Amortization of Excess Deferred Tax Liability or South Georgia Income Tax Adjustment "Credits and Other" terms will be made absent </t>
  </si>
  <si>
    <t>5) Prior Year Incentive Adder Reversal backs out the revenue requirement associated with any project specific Incentive Adders</t>
  </si>
  <si>
    <t xml:space="preserve">    (line 77).  Applicable pursuant to settlement under ER18-169.</t>
  </si>
  <si>
    <t>1) True Up TRR Incentive Adder Reversal backs out the revenue requirement associated with any project-specific Incentive Adders</t>
  </si>
  <si>
    <t xml:space="preserve">    (line 39) for True Up Years during the term of the Second Formula Rate.  Applicable pursuant to settlement under ER18-169.</t>
  </si>
  <si>
    <t>39a</t>
  </si>
  <si>
    <t>True Up Incentive Adder Reversal</t>
  </si>
  <si>
    <t>Negative of Line 39, Note 1</t>
  </si>
  <si>
    <t>Pump Load True-Up</t>
  </si>
  <si>
    <t>4) The Pump Load True-Up value is equal to actual recorded less forecast Pump Load for the Prior Year.</t>
  </si>
  <si>
    <t xml:space="preserve">and project-specific ROE adders awarded to SCE (Tehachapi – 1.25%, Devers to Colorado River – 1.00%, Rancho Vista – 0.75%).  Project adders are </t>
  </si>
  <si>
    <t xml:space="preserve">equivalent to an approximate 0.78% increase in SCE’s overall Base ROE.  If the Commission determines, in an order not subject to rehearing or appeal, </t>
  </si>
  <si>
    <t xml:space="preserve">that SCE is not entitled to the incentive adder for CAISO participation,  SCE will reduce its ROE to 10.7% retroactive to January 1, 2018 for the period </t>
  </si>
  <si>
    <t>the TO2018 settlement is in effect.</t>
  </si>
  <si>
    <t>$60,466,608 shall be fully amortized over the four-year period of 2018 through 2021 and reflected in Line 60 of Schedule 1.  The Unprotected-Non-</t>
  </si>
  <si>
    <t>Property Related net Excess Deferred Income Tax amount of $4,549,634 shall be fully amortized in 2018 and reflected in Line 60 of Schedule 1.</t>
  </si>
  <si>
    <t xml:space="preserve"> Attachment 5</t>
  </si>
  <si>
    <t>TO2018 True Up TRR 
Formula Rate Spreadsheet</t>
  </si>
  <si>
    <t>Feb 2019</t>
  </si>
  <si>
    <t>Mar 2019</t>
  </si>
  <si>
    <t>Apr 2019</t>
  </si>
  <si>
    <t>May 2019</t>
  </si>
  <si>
    <t>Jun 2019</t>
  </si>
  <si>
    <t>Jul 2019</t>
  </si>
  <si>
    <t>Aug 2019</t>
  </si>
  <si>
    <t>Sep 2019</t>
  </si>
  <si>
    <t>Oct 2019</t>
  </si>
  <si>
    <t>Nov 2019</t>
  </si>
  <si>
    <t>Dec 2019</t>
  </si>
  <si>
    <t>Jan 2019</t>
  </si>
  <si>
    <r>
      <t>Depreciation Rates (Percent per year)  See</t>
    </r>
    <r>
      <rPr>
        <sz val="10"/>
        <color rgb="FFFF0000"/>
        <rFont val="Arial"/>
        <family val="2"/>
      </rPr>
      <t xml:space="preserve"> </t>
    </r>
    <r>
      <rPr>
        <sz val="10"/>
        <rFont val="Arial"/>
        <family val="2"/>
      </rPr>
      <t>Instruction 1.</t>
    </r>
  </si>
  <si>
    <t>FF1 263, Row 24, Column i</t>
  </si>
  <si>
    <t>FF1 263, Row 29, Column i</t>
  </si>
  <si>
    <t>FF1 263, Row 28, Column i</t>
  </si>
  <si>
    <t>FF1 263.1, Row 13, Column i</t>
  </si>
  <si>
    <t>5-ROR-1, Line 8</t>
  </si>
  <si>
    <t>5-ROR-1, Line 16</t>
  </si>
  <si>
    <t>5-ROR-1, Line 17</t>
  </si>
  <si>
    <t>5-ROR-1, Line 25</t>
  </si>
  <si>
    <t>5-ROR-1, Line 26</t>
  </si>
  <si>
    <t>5-ROR-1, Line 21</t>
  </si>
  <si>
    <t xml:space="preserve">2) The TO2018 Settlement Return on Common Equity shall be set at 11.2% for the term of the Settlement. Includes Base ROE, 50 basis point ISO adder, </t>
  </si>
  <si>
    <t>negative $183,000 for the Prior Year of 2019, and $0 thereafter.  The Unprotected-Property Related net Excess Deferred Income Tax amount of</t>
  </si>
  <si>
    <t>Line 38 + Line 39 + Line 39a</t>
  </si>
  <si>
    <t xml:space="preserve">of the Formula Rate Spreadsheet in effect during the Prior Year.  </t>
  </si>
  <si>
    <t>1) Depreciation rates on lines 17a-17m are input based on the stated values of ISO Transmission Plant depreciation rates from Schedule 18</t>
  </si>
  <si>
    <t>ISO Transmission Wages and Salaries
Less ISO NOIC (T and D)</t>
  </si>
  <si>
    <t xml:space="preserve">19-OandM Line 91, Col. 7 
Less 19-OandM Line 79, Col. 7 
Less 19-OandM Line 87, Col. 7 </t>
  </si>
  <si>
    <t xml:space="preserve">Line 12 * Line 5 </t>
  </si>
  <si>
    <t xml:space="preserve">Line 14 * Line 5 </t>
  </si>
  <si>
    <t>(L10 + L11 + L13 + L15) / L16</t>
  </si>
  <si>
    <t>27-Allocators, Line 5</t>
  </si>
  <si>
    <t>27-Allocators, Line 18</t>
  </si>
  <si>
    <t xml:space="preserve"> = L23 + L24 </t>
  </si>
  <si>
    <t xml:space="preserve"> = L23  / L25 </t>
  </si>
  <si>
    <t xml:space="preserve"> = L29 + L30 </t>
  </si>
  <si>
    <t xml:space="preserve"> = L29  / L31</t>
  </si>
  <si>
    <t xml:space="preserve"> = L35 + L36</t>
  </si>
  <si>
    <t xml:space="preserve"> = L35  / L37</t>
  </si>
  <si>
    <t xml:space="preserve"> = L41 + L42</t>
  </si>
  <si>
    <t xml:space="preserve"> = L41  / L43</t>
  </si>
  <si>
    <t>Line 1 + Line 2 + Line 3</t>
  </si>
  <si>
    <t>Present</t>
  </si>
  <si>
    <t>Schedule 28 - Workpaper Line 3</t>
  </si>
  <si>
    <t>Schedule 28 - Workpaper Line 4</t>
  </si>
  <si>
    <t>A) Rancho Vista Incentives Received:</t>
  </si>
  <si>
    <t>Cite:</t>
  </si>
  <si>
    <t>CWIP:</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</si>
  <si>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</si>
  <si>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</si>
  <si>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</si>
  <si>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</si>
  <si>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</si>
  <si>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</si>
  <si>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</si>
  <si>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</si>
  <si>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</si>
  <si>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P2 and P3</t>
  </si>
  <si>
    <t>D) Devers to  Palo Verde 2 Incentives Received:</t>
  </si>
  <si>
    <t>121 FERC ¶ 61,168 at P 57; modified by ER10-160 Settlement, see</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</si>
  <si>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</si>
  <si>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</si>
  <si>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</si>
  <si>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</si>
  <si>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</si>
  <si>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</si>
  <si>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</si>
  <si>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</si>
  <si>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</si>
  <si>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</si>
  <si>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</si>
  <si>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</si>
  <si>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</si>
  <si>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</si>
  <si>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</si>
  <si>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</si>
  <si>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Future Incentive Projects</t>
  </si>
  <si>
    <t>Amort of Debt Issuance Cost</t>
  </si>
  <si>
    <t>Executive Incentive Comp</t>
  </si>
  <si>
    <t>Bond Discount Amort</t>
  </si>
  <si>
    <t>Executive Incentive Plan</t>
  </si>
  <si>
    <t>Ins - Inj/Damages Prov</t>
  </si>
  <si>
    <t>Accrued Vacation</t>
  </si>
  <si>
    <t>Amortization of Debt Expense</t>
  </si>
  <si>
    <t>Wildfire Reserve</t>
  </si>
  <si>
    <t>Decommissioning</t>
  </si>
  <si>
    <t>Balancing Accounts</t>
  </si>
  <si>
    <t>Pension &amp; PBOP</t>
  </si>
  <si>
    <t>Property/Non-ISO</t>
  </si>
  <si>
    <t>Regulatory Assets/Liab</t>
  </si>
  <si>
    <t>Temp - Other/Non-ISO</t>
  </si>
  <si>
    <t>Net Operating Losses DTA</t>
  </si>
  <si>
    <t>C: Relates primarily to Regulated Electric Property</t>
  </si>
  <si>
    <t>C: Relates to employees in all functions</t>
  </si>
  <si>
    <t>Relates to Nuclear Decommissioning Costs</t>
  </si>
  <si>
    <t>Relates Entirely to CPUC Balancing Account Recovery</t>
  </si>
  <si>
    <t>Non-Rate Base Property</t>
  </si>
  <si>
    <t xml:space="preserve">Relates to Nonrecovery Balancing Account  </t>
  </si>
  <si>
    <t>Not Component of Rate Base</t>
  </si>
  <si>
    <t xml:space="preserve">NOL/DTA </t>
  </si>
  <si>
    <t>Temp - Other/Non-ISO - Gas</t>
  </si>
  <si>
    <t>Temp - Other/Non-ISO - Other</t>
  </si>
  <si>
    <t>EMS</t>
  </si>
  <si>
    <t>Property/Non-ISO - Gas</t>
  </si>
  <si>
    <t>Property/Non-ISO - Other</t>
  </si>
  <si>
    <t>Gas Related Costs</t>
  </si>
  <si>
    <t>Other Non-ISO Related Costs</t>
  </si>
  <si>
    <t xml:space="preserve">Fully Normalized Deferred Tax </t>
  </si>
  <si>
    <t>Capitalized software</t>
  </si>
  <si>
    <t>Audit Rollforward</t>
  </si>
  <si>
    <t>Property-Related FERC Costs</t>
  </si>
  <si>
    <t>Property-Related CPUC Costs</t>
  </si>
  <si>
    <t>Property-Related CPUC Costs - Cap Software</t>
  </si>
  <si>
    <t xml:space="preserve">Property-Related CPUC Costs - Audit </t>
  </si>
  <si>
    <t>Ad Valorem Lien Date Adj-Electric</t>
  </si>
  <si>
    <t>Refunding &amp; Retirement of Debt</t>
  </si>
  <si>
    <t>Health Care - IBNR</t>
  </si>
  <si>
    <t>Relates Entirely to CPUC Regulated Property</t>
  </si>
  <si>
    <t>Relates Entirely to FERC Regulated Electric Property</t>
  </si>
  <si>
    <t>Non-Rate Base FAS 109 Tax Flow-Thru</t>
  </si>
  <si>
    <t>Internal Revenue Code § 11.b</t>
  </si>
  <si>
    <t>California Rev. &amp; Tax. Cd. § 23151</t>
  </si>
  <si>
    <t>Line 17, column 3</t>
  </si>
  <si>
    <t>Determination of Unfunded Reserves</t>
  </si>
  <si>
    <t xml:space="preserve">Alberhill </t>
  </si>
  <si>
    <t>Sub</t>
  </si>
  <si>
    <t xml:space="preserve"> SCE records</t>
  </si>
  <si>
    <t>i) Mesa</t>
  </si>
  <si>
    <t>j) Alberhill</t>
  </si>
  <si>
    <t>k) ELM Series Caps</t>
  </si>
  <si>
    <t>CPUC D. 19-05-20</t>
  </si>
  <si>
    <t>2018-2020</t>
  </si>
  <si>
    <t>Series E 6.250%</t>
  </si>
  <si>
    <t>Series G 5.1%</t>
  </si>
  <si>
    <t>Series H 5.75%</t>
  </si>
  <si>
    <t>Series J 5.375%</t>
  </si>
  <si>
    <t>Series K 5.45%</t>
  </si>
  <si>
    <t>Series L 5.00%</t>
  </si>
  <si>
    <t>Updated 4/11/18 from 120 mos to 360 mos because this is a fixed security.</t>
  </si>
  <si>
    <t>12.000% Preferred, redemption</t>
  </si>
  <si>
    <t>Series B</t>
  </si>
  <si>
    <t>Redeemed by Series G</t>
  </si>
  <si>
    <t>Series C</t>
  </si>
  <si>
    <t>ELM</t>
  </si>
  <si>
    <t>Series Cap</t>
  </si>
  <si>
    <t>South of Kramer</t>
  </si>
  <si>
    <t>West of Devers</t>
  </si>
  <si>
    <t>CPUC D. 19-05-020</t>
  </si>
  <si>
    <t>Series D</t>
  </si>
  <si>
    <t>Redeemed by Series K</t>
  </si>
  <si>
    <t>Series F</t>
  </si>
  <si>
    <t>Settlement of TO2019A (ER19-1553)</t>
  </si>
  <si>
    <t>169 FERC ¶ 61,177</t>
  </si>
  <si>
    <t>4t</t>
  </si>
  <si>
    <t>4184533</t>
  </si>
  <si>
    <t>Rule 21 Fast Track Application Fee</t>
  </si>
  <si>
    <t>4184515</t>
  </si>
  <si>
    <t>4186927</t>
  </si>
  <si>
    <t>AR Service Guarantee</t>
  </si>
  <si>
    <t>10bb</t>
  </si>
  <si>
    <t>Joint Pole - Tarriffed - PA Inspect</t>
  </si>
  <si>
    <t>10cc</t>
  </si>
  <si>
    <t>Joint Pole - Non-Tarriff PA Inspect</t>
  </si>
  <si>
    <t>12fff</t>
  </si>
  <si>
    <t>Gas Sales - ERRA</t>
  </si>
  <si>
    <t>12ggg</t>
  </si>
  <si>
    <t>Miscellaneous Electric Revenue - ERRA</t>
  </si>
  <si>
    <t>12hhh</t>
  </si>
  <si>
    <t>4186119</t>
  </si>
  <si>
    <t>PUCRF Rate Adjustment - Electric</t>
  </si>
  <si>
    <t>12iii</t>
  </si>
  <si>
    <t>4186188</t>
  </si>
  <si>
    <t>Utility Earnings - Mono Power Co</t>
  </si>
  <si>
    <t>15v</t>
  </si>
  <si>
    <t>4171022</t>
  </si>
  <si>
    <t>Transmission Sales - ERRA</t>
  </si>
  <si>
    <t>15w</t>
  </si>
  <si>
    <t>4171032</t>
  </si>
  <si>
    <t>Transmission Sales - PABA</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</si>
  <si>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</si>
  <si>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</si>
  <si>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</si>
  <si>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</si>
  <si>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</si>
  <si>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</si>
  <si>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</si>
  <si>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</si>
  <si>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</si>
  <si>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</si>
  <si>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</si>
  <si>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</si>
  <si>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</si>
  <si>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</si>
  <si>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</si>
  <si>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</si>
  <si>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</si>
  <si>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</si>
  <si>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</si>
  <si>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</si>
  <si>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</si>
  <si>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Devers to Colorado River</t>
  </si>
  <si>
    <t>Whirlwind Substation Expansion</t>
  </si>
  <si>
    <t>Colorado River Substation Expansion</t>
  </si>
  <si>
    <t>ELM Series Capacitors</t>
  </si>
  <si>
    <t>ER20-1382</t>
  </si>
  <si>
    <t>15u</t>
  </si>
  <si>
    <t>RSR - Non-PTO's - RSBA</t>
  </si>
  <si>
    <t>.</t>
  </si>
  <si>
    <t>TO2020, Docket No. ER19-1553</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</si>
  <si>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</si>
  <si>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</si>
  <si>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</si>
  <si>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</si>
  <si>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</si>
  <si>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</si>
  <si>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</si>
  <si>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</si>
  <si>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</si>
  <si>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</si>
  <si>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</si>
  <si>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</si>
  <si>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</si>
  <si>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</si>
  <si>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</si>
  <si>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</si>
  <si>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</si>
  <si>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</si>
  <si>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</si>
  <si>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</si>
  <si>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</si>
  <si>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</si>
  <si>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</si>
  <si>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</si>
  <si>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</si>
  <si>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</si>
  <si>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</si>
  <si>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</si>
  <si>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G: Exclude any amount of ACE awards or Spot Bonuses in O&amp;M accounts 560-592.</t>
  </si>
  <si>
    <t>F, G</t>
  </si>
  <si>
    <t xml:space="preserve">2021 TRBAA </t>
  </si>
  <si>
    <t xml:space="preserve"> ER21-261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</si>
</sst>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sz val="11"/>
      <name val="Calibri"/>
      <family val="2"/>
      <scheme val="minor"/>
    </font>
    <font>
      <b/>
      <sz val="11"/>
      <name val="Calibri"/>
      <family val="2"/>
      <scheme val="minor"/>
    </font>
    <font>
      <sz val="10"/>
      <color theme="1"/>
      <name val="Calibri"/>
      <family val="2"/>
      <scheme val="minor"/>
    </font>
    <font>
      <b/>
      <i/>
      <sz val="10"/>
      <name val="Arial"/>
      <family val="2"/>
    </font>
    <font>
      <sz val="10"/>
      <name val="Calibri"/>
      <family val="2"/>
      <scheme val="minor"/>
    </font>
    <font>
      <sz val="10"/>
      <name val="Arial"/>
      <family val="2"/>
    </font>
    <font>
      <strike/>
      <sz val="10"/>
      <name val="Arial"/>
      <family val="2"/>
    </font>
    <font>
      <sz val="10"/>
      <color rgb="FF000000"/>
      <name val="Arial"/>
      <family val="2"/>
    </font>
    <font>
      <sz val="10"/>
      <color theme="1"/>
      <name val="Calibri"/>
      <family val="2"/>
    </font>
    <font>
      <sz val="12"/>
      <name val="Times New Roman"/>
      <family val="1"/>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sz val="11"/>
      <name val="Calibri"/>
      <family val="2"/>
    </font>
    <font>
      <strike/>
      <sz val="10"/>
      <color rgb="FFFF0000"/>
      <name val="Calibri"/>
      <family val="2"/>
      <scheme val="minor"/>
    </font>
    <font>
      <b/>
      <u/>
      <sz val="10"/>
      <color rgb="FFFF0000"/>
      <name val="Arial"/>
      <family val="2"/>
    </font>
    <font>
      <b/>
      <sz val="22"/>
      <name val="Arial"/>
      <family val="2"/>
    </font>
    <font>
      <b/>
      <sz val="18"/>
      <name val="Arial"/>
      <family val="2"/>
    </font>
    <font>
      <b/>
      <sz val="20"/>
      <name val="Arial"/>
      <family val="2"/>
    </font>
    <font>
      <sz val="12"/>
      <name val="Arial"/>
      <family val="2"/>
    </font>
    <font>
      <sz val="10"/>
      <color indexed="23"/>
      <name val="Times New Roman"/>
      <family val="1"/>
    </font>
  </fonts>
  <fills count="113">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s>
  <borders count="63">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53896">
    <xf numFmtId="0" fontId="0" fillId="0" borderId="0"/>
    <xf numFmtId="0" fontId="38" fillId="8" borderId="0" applyNumberFormat="0" applyBorder="0" applyAlignment="0" applyProtection="0"/>
    <xf numFmtId="0" fontId="38" fillId="9" borderId="0" applyNumberFormat="0" applyBorder="0" applyAlignment="0" applyProtection="0"/>
    <xf numFmtId="0" fontId="39" fillId="10"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9" fillId="18"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9" fillId="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9"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30"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1" fillId="0" borderId="0"/>
    <xf numFmtId="9" fontId="21" fillId="0" borderId="0" applyFont="0" applyFill="0" applyBorder="0" applyAlignment="0" applyProtection="0"/>
    <xf numFmtId="9" fontId="44" fillId="0" borderId="0" applyFont="0" applyFill="0" applyBorder="0" applyAlignment="0" applyProtection="0"/>
    <xf numFmtId="9" fontId="24" fillId="0" borderId="0" applyFont="0" applyFill="0" applyBorder="0" applyAlignment="0" applyProtection="0"/>
    <xf numFmtId="4" fontId="43" fillId="25" borderId="1" applyNumberFormat="0" applyProtection="0">
      <alignment vertical="center"/>
    </xf>
    <xf numFmtId="4" fontId="45" fillId="25" borderId="1" applyNumberFormat="0" applyProtection="0">
      <alignment vertical="center"/>
    </xf>
    <xf numFmtId="4" fontId="43" fillId="25" borderId="1" applyNumberFormat="0" applyProtection="0">
      <alignment horizontal="left" vertical="center" indent="1"/>
    </xf>
    <xf numFmtId="0" fontId="43" fillId="25" borderId="1" applyNumberFormat="0" applyProtection="0">
      <alignment horizontal="left" vertical="top" indent="1"/>
    </xf>
    <xf numFmtId="4" fontId="43" fillId="27" borderId="0" applyNumberFormat="0" applyProtection="0">
      <alignment horizontal="left" vertical="center" indent="1"/>
    </xf>
    <xf numFmtId="4" fontId="41" fillId="2" borderId="1" applyNumberFormat="0" applyProtection="0">
      <alignment horizontal="right" vertical="center"/>
    </xf>
    <xf numFmtId="4" fontId="41" fillId="4" borderId="1" applyNumberFormat="0" applyProtection="0">
      <alignment horizontal="right" vertical="center"/>
    </xf>
    <xf numFmtId="4" fontId="41" fillId="11" borderId="1" applyNumberFormat="0" applyProtection="0">
      <alignment horizontal="right" vertical="center"/>
    </xf>
    <xf numFmtId="4" fontId="41" fillId="6" borderId="1" applyNumberFormat="0" applyProtection="0">
      <alignment horizontal="right" vertical="center"/>
    </xf>
    <xf numFmtId="4" fontId="41" fillId="7" borderId="1" applyNumberFormat="0" applyProtection="0">
      <alignment horizontal="right" vertical="center"/>
    </xf>
    <xf numFmtId="4" fontId="41" fillId="19" borderId="1" applyNumberFormat="0" applyProtection="0">
      <alignment horizontal="right" vertical="center"/>
    </xf>
    <xf numFmtId="4" fontId="41" fillId="15" borderId="1" applyNumberFormat="0" applyProtection="0">
      <alignment horizontal="right" vertical="center"/>
    </xf>
    <xf numFmtId="4" fontId="41" fillId="28" borderId="1" applyNumberFormat="0" applyProtection="0">
      <alignment horizontal="right" vertical="center"/>
    </xf>
    <xf numFmtId="4" fontId="41" fillId="5" borderId="1" applyNumberFormat="0" applyProtection="0">
      <alignment horizontal="right" vertical="center"/>
    </xf>
    <xf numFmtId="4" fontId="43" fillId="29" borderId="2" applyNumberFormat="0" applyProtection="0">
      <alignment horizontal="left" vertical="center" indent="1"/>
    </xf>
    <xf numFmtId="4" fontId="41" fillId="30" borderId="0" applyNumberFormat="0" applyProtection="0">
      <alignment horizontal="left" vertical="center" indent="1"/>
    </xf>
    <xf numFmtId="4" fontId="46" fillId="31" borderId="0" applyNumberFormat="0" applyProtection="0">
      <alignment horizontal="left" vertical="center" indent="1"/>
    </xf>
    <xf numFmtId="4" fontId="41" fillId="27" borderId="1" applyNumberFormat="0" applyProtection="0">
      <alignment horizontal="right" vertical="center"/>
    </xf>
    <xf numFmtId="4" fontId="41" fillId="30" borderId="0" applyNumberFormat="0" applyProtection="0">
      <alignment horizontal="left" vertical="center" indent="1"/>
    </xf>
    <xf numFmtId="4" fontId="41"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1" fillId="26" borderId="1" applyNumberFormat="0" applyProtection="0">
      <alignment vertical="center"/>
    </xf>
    <xf numFmtId="4" fontId="47" fillId="26" borderId="1" applyNumberFormat="0" applyProtection="0">
      <alignment vertical="center"/>
    </xf>
    <xf numFmtId="4" fontId="41" fillId="26" borderId="1" applyNumberFormat="0" applyProtection="0">
      <alignment horizontal="left" vertical="center" indent="1"/>
    </xf>
    <xf numFmtId="0" fontId="41" fillId="26" borderId="1" applyNumberFormat="0" applyProtection="0">
      <alignment horizontal="left" vertical="top" indent="1"/>
    </xf>
    <xf numFmtId="4" fontId="41" fillId="30" borderId="1" applyNumberFormat="0" applyProtection="0">
      <alignment horizontal="right" vertical="center"/>
    </xf>
    <xf numFmtId="4" fontId="47" fillId="30" borderId="1" applyNumberFormat="0" applyProtection="0">
      <alignment horizontal="right" vertical="center"/>
    </xf>
    <xf numFmtId="4" fontId="41" fillId="27" borderId="1" applyNumberFormat="0" applyProtection="0">
      <alignment horizontal="left" vertical="center" indent="1"/>
    </xf>
    <xf numFmtId="0" fontId="41" fillId="27" borderId="1" applyNumberFormat="0" applyProtection="0">
      <alignment horizontal="left" vertical="top" indent="1"/>
    </xf>
    <xf numFmtId="4" fontId="48" fillId="33" borderId="0" applyNumberFormat="0" applyProtection="0">
      <alignment horizontal="left" vertical="center" indent="1"/>
    </xf>
    <xf numFmtId="4" fontId="42" fillId="30" borderId="1" applyNumberFormat="0" applyProtection="0">
      <alignment horizontal="right" vertical="center"/>
    </xf>
    <xf numFmtId="0" fontId="49"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5"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4" fillId="0" borderId="0"/>
    <xf numFmtId="0" fontId="44" fillId="0" borderId="0"/>
    <xf numFmtId="0" fontId="44" fillId="0" borderId="0"/>
    <xf numFmtId="0" fontId="44" fillId="0" borderId="0"/>
    <xf numFmtId="0" fontId="44" fillId="0" borderId="0"/>
    <xf numFmtId="43" fontId="54"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3" fillId="0" borderId="0"/>
    <xf numFmtId="0" fontId="74"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8" fillId="0" borderId="0" applyFont="0" applyFill="0" applyBorder="0" applyAlignment="0" applyProtection="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0" fontId="90" fillId="0" borderId="0"/>
    <xf numFmtId="183" fontId="90" fillId="0" borderId="0"/>
    <xf numFmtId="184" fontId="90" fillId="0" borderId="0"/>
    <xf numFmtId="185" fontId="90" fillId="0" borderId="0"/>
    <xf numFmtId="183" fontId="90" fillId="0" borderId="0"/>
    <xf numFmtId="184" fontId="90" fillId="0" borderId="0"/>
    <xf numFmtId="184" fontId="90" fillId="0" borderId="0"/>
    <xf numFmtId="184" fontId="90" fillId="0" borderId="0"/>
    <xf numFmtId="183" fontId="91" fillId="0" borderId="0" applyNumberFormat="0" applyFill="0" applyBorder="0" applyAlignment="0" applyProtection="0">
      <alignment vertical="top"/>
    </xf>
    <xf numFmtId="184" fontId="91" fillId="0" borderId="0" applyNumberFormat="0" applyFill="0" applyBorder="0" applyAlignment="0" applyProtection="0">
      <alignment vertical="top"/>
    </xf>
    <xf numFmtId="183" fontId="92" fillId="0" borderId="0" applyNumberFormat="0" applyFill="0" applyBorder="0" applyAlignment="0" applyProtection="0">
      <alignment vertical="top"/>
    </xf>
    <xf numFmtId="184" fontId="92"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3" fillId="0" borderId="0" applyNumberFormat="0" applyFill="0" applyBorder="0" applyAlignment="0" applyProtection="0">
      <alignment vertical="top"/>
    </xf>
    <xf numFmtId="184" fontId="93" fillId="0" borderId="0" applyNumberFormat="0" applyFill="0" applyBorder="0" applyAlignment="0" applyProtection="0">
      <alignment vertical="top"/>
    </xf>
    <xf numFmtId="183" fontId="94" fillId="0" borderId="29" applyBorder="0">
      <alignment horizontal="left"/>
    </xf>
    <xf numFmtId="184" fontId="94" fillId="0" borderId="29"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8" fillId="70" borderId="0" applyNumberFormat="0" applyBorder="0" applyAlignment="0" applyProtection="0"/>
    <xf numFmtId="187" fontId="41" fillId="27" borderId="0" applyNumberFormat="0" applyBorder="0" applyAlignment="0" applyProtection="0"/>
    <xf numFmtId="184" fontId="41" fillId="27"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0"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3" fontId="38" fillId="70" borderId="0" applyNumberFormat="0" applyBorder="0" applyAlignment="0" applyProtection="0"/>
    <xf numFmtId="183"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0" fontId="38" fillId="70" borderId="0" applyNumberFormat="0" applyBorder="0" applyAlignment="0" applyProtection="0"/>
    <xf numFmtId="184" fontId="38" fillId="70" borderId="0" applyNumberFormat="0" applyBorder="0" applyAlignment="0" applyProtection="0"/>
    <xf numFmtId="184" fontId="38" fillId="70" borderId="0" applyNumberFormat="0" applyBorder="0" applyAlignment="0" applyProtection="0"/>
    <xf numFmtId="185" fontId="41" fillId="27" borderId="0" applyNumberFormat="0" applyBorder="0" applyAlignment="0" applyProtection="0"/>
    <xf numFmtId="183" fontId="41" fillId="27" borderId="0" applyNumberFormat="0" applyBorder="0" applyAlignment="0" applyProtection="0"/>
    <xf numFmtId="183"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5" fontId="41" fillId="27" borderId="0" applyNumberFormat="0" applyBorder="0" applyAlignment="0" applyProtection="0"/>
    <xf numFmtId="184" fontId="41" fillId="27" borderId="0" applyNumberFormat="0" applyBorder="0" applyAlignment="0" applyProtection="0"/>
    <xf numFmtId="184" fontId="41"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8" fillId="2"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3" fontId="38" fillId="2" borderId="0" applyNumberFormat="0" applyBorder="0" applyAlignment="0" applyProtection="0"/>
    <xf numFmtId="183"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0" fontId="38" fillId="2" borderId="0" applyNumberFormat="0" applyBorder="0" applyAlignment="0" applyProtection="0"/>
    <xf numFmtId="184" fontId="38" fillId="2" borderId="0" applyNumberFormat="0" applyBorder="0" applyAlignment="0" applyProtection="0"/>
    <xf numFmtId="184" fontId="38" fillId="2"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8" fillId="71" borderId="0" applyNumberFormat="0" applyBorder="0" applyAlignment="0" applyProtection="0"/>
    <xf numFmtId="187" fontId="41" fillId="26" borderId="0" applyNumberFormat="0" applyBorder="0" applyAlignment="0" applyProtection="0"/>
    <xf numFmtId="184" fontId="41" fillId="26"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0"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3" fontId="38" fillId="71" borderId="0" applyNumberFormat="0" applyBorder="0" applyAlignment="0" applyProtection="0"/>
    <xf numFmtId="183"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0" fontId="38" fillId="71" borderId="0" applyNumberFormat="0" applyBorder="0" applyAlignment="0" applyProtection="0"/>
    <xf numFmtId="184" fontId="38" fillId="71" borderId="0" applyNumberFormat="0" applyBorder="0" applyAlignment="0" applyProtection="0"/>
    <xf numFmtId="184" fontId="38" fillId="71" borderId="0" applyNumberFormat="0" applyBorder="0" applyAlignment="0" applyProtection="0"/>
    <xf numFmtId="185" fontId="41" fillId="26" borderId="0" applyNumberFormat="0" applyBorder="0" applyAlignment="0" applyProtection="0"/>
    <xf numFmtId="183" fontId="41" fillId="26" borderId="0" applyNumberFormat="0" applyBorder="0" applyAlignment="0" applyProtection="0"/>
    <xf numFmtId="183"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5" fontId="41" fillId="26" borderId="0" applyNumberFormat="0" applyBorder="0" applyAlignment="0" applyProtection="0"/>
    <xf numFmtId="184" fontId="41" fillId="26" borderId="0" applyNumberFormat="0" applyBorder="0" applyAlignment="0" applyProtection="0"/>
    <xf numFmtId="184" fontId="41"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8" fillId="72" borderId="0" applyNumberFormat="0" applyBorder="0" applyAlignment="0" applyProtection="0"/>
    <xf numFmtId="187" fontId="41" fillId="32" borderId="0" applyNumberFormat="0" applyBorder="0" applyAlignment="0" applyProtection="0"/>
    <xf numFmtId="184" fontId="41" fillId="3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0"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32" borderId="0" applyNumberFormat="0" applyBorder="0" applyAlignment="0" applyProtection="0"/>
    <xf numFmtId="183" fontId="41" fillId="32" borderId="0" applyNumberFormat="0" applyBorder="0" applyAlignment="0" applyProtection="0"/>
    <xf numFmtId="183"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5" fontId="41" fillId="32" borderId="0" applyNumberFormat="0" applyBorder="0" applyAlignment="0" applyProtection="0"/>
    <xf numFmtId="184" fontId="41" fillId="32" borderId="0" applyNumberFormat="0" applyBorder="0" applyAlignment="0" applyProtection="0"/>
    <xf numFmtId="184" fontId="41"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8" fillId="73" borderId="0" applyNumberFormat="0" applyBorder="0" applyAlignment="0" applyProtection="0"/>
    <xf numFmtId="187" fontId="41" fillId="3" borderId="0" applyNumberFormat="0" applyBorder="0" applyAlignment="0" applyProtection="0"/>
    <xf numFmtId="184" fontId="41" fillId="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0"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3" fontId="38" fillId="73" borderId="0" applyNumberFormat="0" applyBorder="0" applyAlignment="0" applyProtection="0"/>
    <xf numFmtId="183"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0" fontId="38" fillId="73" borderId="0" applyNumberFormat="0" applyBorder="0" applyAlignment="0" applyProtection="0"/>
    <xf numFmtId="184" fontId="38" fillId="73" borderId="0" applyNumberFormat="0" applyBorder="0" applyAlignment="0" applyProtection="0"/>
    <xf numFmtId="184" fontId="38" fillId="73" borderId="0" applyNumberFormat="0" applyBorder="0" applyAlignment="0" applyProtection="0"/>
    <xf numFmtId="185" fontId="41" fillId="3" borderId="0" applyNumberFormat="0" applyBorder="0" applyAlignment="0" applyProtection="0"/>
    <xf numFmtId="183" fontId="41" fillId="3" borderId="0" applyNumberFormat="0" applyBorder="0" applyAlignment="0" applyProtection="0"/>
    <xf numFmtId="183"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5" fontId="41" fillId="3" borderId="0" applyNumberFormat="0" applyBorder="0" applyAlignment="0" applyProtection="0"/>
    <xf numFmtId="184" fontId="41" fillId="3" borderId="0" applyNumberFormat="0" applyBorder="0" applyAlignment="0" applyProtection="0"/>
    <xf numFmtId="184" fontId="41"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8" fillId="74" borderId="0" applyNumberFormat="0" applyBorder="0" applyAlignment="0" applyProtection="0"/>
    <xf numFmtId="187" fontId="41" fillId="2" borderId="0" applyNumberFormat="0" applyBorder="0" applyAlignment="0" applyProtection="0"/>
    <xf numFmtId="184" fontId="41" fillId="2"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0"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3" fontId="38" fillId="74" borderId="0" applyNumberFormat="0" applyBorder="0" applyAlignment="0" applyProtection="0"/>
    <xf numFmtId="183"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0" fontId="38" fillId="74" borderId="0" applyNumberFormat="0" applyBorder="0" applyAlignment="0" applyProtection="0"/>
    <xf numFmtId="184" fontId="38" fillId="74" borderId="0" applyNumberFormat="0" applyBorder="0" applyAlignment="0" applyProtection="0"/>
    <xf numFmtId="184" fontId="38" fillId="74" borderId="0" applyNumberFormat="0" applyBorder="0" applyAlignment="0" applyProtection="0"/>
    <xf numFmtId="185" fontId="41" fillId="2" borderId="0" applyNumberFormat="0" applyBorder="0" applyAlignment="0" applyProtection="0"/>
    <xf numFmtId="183" fontId="41" fillId="2" borderId="0" applyNumberFormat="0" applyBorder="0" applyAlignment="0" applyProtection="0"/>
    <xf numFmtId="183"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5" fontId="41" fillId="2" borderId="0" applyNumberFormat="0" applyBorder="0" applyAlignment="0" applyProtection="0"/>
    <xf numFmtId="184" fontId="41" fillId="2" borderId="0" applyNumberFormat="0" applyBorder="0" applyAlignment="0" applyProtection="0"/>
    <xf numFmtId="184" fontId="41"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8" fillId="4" borderId="0" applyNumberFormat="0" applyBorder="0" applyAlignment="0" applyProtection="0"/>
    <xf numFmtId="187" fontId="41" fillId="4" borderId="0" applyNumberFormat="0" applyBorder="0" applyAlignment="0" applyProtection="0"/>
    <xf numFmtId="184" fontId="41"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0"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41" fillId="4" borderId="0" applyNumberFormat="0" applyBorder="0" applyAlignment="0" applyProtection="0"/>
    <xf numFmtId="183" fontId="41" fillId="4" borderId="0" applyNumberFormat="0" applyBorder="0" applyAlignment="0" applyProtection="0"/>
    <xf numFmtId="183"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5" fontId="41" fillId="4" borderId="0" applyNumberFormat="0" applyBorder="0" applyAlignment="0" applyProtection="0"/>
    <xf numFmtId="184" fontId="41" fillId="4" borderId="0" applyNumberFormat="0" applyBorder="0" applyAlignment="0" applyProtection="0"/>
    <xf numFmtId="184" fontId="41"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8" fillId="5" borderId="0" applyNumberFormat="0" applyBorder="0" applyAlignment="0" applyProtection="0"/>
    <xf numFmtId="187" fontId="41" fillId="15" borderId="0" applyNumberFormat="0" applyBorder="0" applyAlignment="0" applyProtection="0"/>
    <xf numFmtId="184" fontId="41" fillId="1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0"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41" fillId="15" borderId="0" applyNumberFormat="0" applyBorder="0" applyAlignment="0" applyProtection="0"/>
    <xf numFmtId="183" fontId="41" fillId="15" borderId="0" applyNumberFormat="0" applyBorder="0" applyAlignment="0" applyProtection="0"/>
    <xf numFmtId="183"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5" fontId="41" fillId="15" borderId="0" applyNumberFormat="0" applyBorder="0" applyAlignment="0" applyProtection="0"/>
    <xf numFmtId="184" fontId="41" fillId="15" borderId="0" applyNumberFormat="0" applyBorder="0" applyAlignment="0" applyProtection="0"/>
    <xf numFmtId="184" fontId="41"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8" fillId="72" borderId="0" applyNumberFormat="0" applyBorder="0" applyAlignment="0" applyProtection="0"/>
    <xf numFmtId="187" fontId="41" fillId="75" borderId="0" applyNumberFormat="0" applyBorder="0" applyAlignment="0" applyProtection="0"/>
    <xf numFmtId="184" fontId="41" fillId="75"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0"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3" fontId="38" fillId="72" borderId="0" applyNumberFormat="0" applyBorder="0" applyAlignment="0" applyProtection="0"/>
    <xf numFmtId="183"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0" fontId="38" fillId="72" borderId="0" applyNumberFormat="0" applyBorder="0" applyAlignment="0" applyProtection="0"/>
    <xf numFmtId="184" fontId="38" fillId="72" borderId="0" applyNumberFormat="0" applyBorder="0" applyAlignment="0" applyProtection="0"/>
    <xf numFmtId="184" fontId="38" fillId="72" borderId="0" applyNumberFormat="0" applyBorder="0" applyAlignment="0" applyProtection="0"/>
    <xf numFmtId="185" fontId="41" fillId="75" borderId="0" applyNumberFormat="0" applyBorder="0" applyAlignment="0" applyProtection="0"/>
    <xf numFmtId="183" fontId="41" fillId="75" borderId="0" applyNumberFormat="0" applyBorder="0" applyAlignment="0" applyProtection="0"/>
    <xf numFmtId="183"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5" fontId="41" fillId="75" borderId="0" applyNumberFormat="0" applyBorder="0" applyAlignment="0" applyProtection="0"/>
    <xf numFmtId="184" fontId="41" fillId="75" borderId="0" applyNumberFormat="0" applyBorder="0" applyAlignment="0" applyProtection="0"/>
    <xf numFmtId="184" fontId="41"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8" fillId="3" borderId="0" applyNumberFormat="0" applyBorder="0" applyAlignment="0" applyProtection="0"/>
    <xf numFmtId="187" fontId="41" fillId="31" borderId="0" applyNumberFormat="0" applyBorder="0" applyAlignment="0" applyProtection="0"/>
    <xf numFmtId="184" fontId="41" fillId="31"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0"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3" fontId="38" fillId="3" borderId="0" applyNumberFormat="0" applyBorder="0" applyAlignment="0" applyProtection="0"/>
    <xf numFmtId="183"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0" fontId="38" fillId="3" borderId="0" applyNumberFormat="0" applyBorder="0" applyAlignment="0" applyProtection="0"/>
    <xf numFmtId="184" fontId="38" fillId="3" borderId="0" applyNumberFormat="0" applyBorder="0" applyAlignment="0" applyProtection="0"/>
    <xf numFmtId="184" fontId="38" fillId="3" borderId="0" applyNumberFormat="0" applyBorder="0" applyAlignment="0" applyProtection="0"/>
    <xf numFmtId="185" fontId="41" fillId="31" borderId="0" applyNumberFormat="0" applyBorder="0" applyAlignment="0" applyProtection="0"/>
    <xf numFmtId="183" fontId="41" fillId="31" borderId="0" applyNumberFormat="0" applyBorder="0" applyAlignment="0" applyProtection="0"/>
    <xf numFmtId="183"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5" fontId="41" fillId="31" borderId="0" applyNumberFormat="0" applyBorder="0" applyAlignment="0" applyProtection="0"/>
    <xf numFmtId="184" fontId="41" fillId="31" borderId="0" applyNumberFormat="0" applyBorder="0" applyAlignment="0" applyProtection="0"/>
    <xf numFmtId="184" fontId="41"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8" fillId="6" borderId="0" applyNumberFormat="0" applyBorder="0" applyAlignment="0" applyProtection="0"/>
    <xf numFmtId="187" fontId="41" fillId="74" borderId="0" applyNumberFormat="0" applyBorder="0" applyAlignment="0" applyProtection="0"/>
    <xf numFmtId="184" fontId="41" fillId="74"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0"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3" fontId="38" fillId="6" borderId="0" applyNumberFormat="0" applyBorder="0" applyAlignment="0" applyProtection="0"/>
    <xf numFmtId="183"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0" fontId="38" fillId="6" borderId="0" applyNumberFormat="0" applyBorder="0" applyAlignment="0" applyProtection="0"/>
    <xf numFmtId="184" fontId="38" fillId="6" borderId="0" applyNumberFormat="0" applyBorder="0" applyAlignment="0" applyProtection="0"/>
    <xf numFmtId="184" fontId="38" fillId="6" borderId="0" applyNumberFormat="0" applyBorder="0" applyAlignment="0" applyProtection="0"/>
    <xf numFmtId="185" fontId="41" fillId="74" borderId="0" applyNumberFormat="0" applyBorder="0" applyAlignment="0" applyProtection="0"/>
    <xf numFmtId="183" fontId="41" fillId="74" borderId="0" applyNumberFormat="0" applyBorder="0" applyAlignment="0" applyProtection="0"/>
    <xf numFmtId="183"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5" fontId="41" fillId="74" borderId="0" applyNumberFormat="0" applyBorder="0" applyAlignment="0" applyProtection="0"/>
    <xf numFmtId="184" fontId="41" fillId="74" borderId="0" applyNumberFormat="0" applyBorder="0" applyAlignment="0" applyProtection="0"/>
    <xf numFmtId="184" fontId="41"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0"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7" fontId="95" fillId="31" borderId="0" applyNumberFormat="0" applyBorder="0" applyAlignment="0" applyProtection="0"/>
    <xf numFmtId="0" fontId="39" fillId="76" borderId="0" applyNumberFormat="0" applyBorder="0" applyAlignment="0" applyProtection="0"/>
    <xf numFmtId="184" fontId="39" fillId="76" borderId="0" applyNumberFormat="0" applyBorder="0" applyAlignment="0" applyProtection="0"/>
    <xf numFmtId="184" fontId="95" fillId="31" borderId="0" applyNumberFormat="0" applyBorder="0" applyAlignment="0" applyProtection="0"/>
    <xf numFmtId="0" fontId="39" fillId="76"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9" fillId="76"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5" fontId="89" fillId="48" borderId="0" applyNumberFormat="0" applyBorder="0" applyAlignment="0" applyProtection="0"/>
    <xf numFmtId="183"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184" fontId="89" fillId="48" borderId="0" applyNumberFormat="0" applyBorder="0" applyAlignment="0" applyProtection="0"/>
    <xf numFmtId="0"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5" fontId="39" fillId="76" borderId="0" applyNumberFormat="0" applyBorder="0" applyAlignment="0" applyProtection="0"/>
    <xf numFmtId="183"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4" fontId="39" fillId="76"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48" borderId="0" applyNumberFormat="0" applyBorder="0" applyAlignment="0" applyProtection="0"/>
    <xf numFmtId="182" fontId="89" fillId="48"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0"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0"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7" fontId="95" fillId="4" borderId="0" applyNumberFormat="0" applyBorder="0" applyAlignment="0" applyProtection="0"/>
    <xf numFmtId="0" fontId="39" fillId="4" borderId="0" applyNumberFormat="0" applyBorder="0" applyAlignment="0" applyProtection="0"/>
    <xf numFmtId="184" fontId="39" fillId="4" borderId="0" applyNumberFormat="0" applyBorder="0" applyAlignment="0" applyProtection="0"/>
    <xf numFmtId="184" fontId="95" fillId="4" borderId="0" applyNumberFormat="0" applyBorder="0" applyAlignment="0" applyProtection="0"/>
    <xf numFmtId="0" fontId="39"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9" fillId="4"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5" fontId="89" fillId="52" borderId="0" applyNumberFormat="0" applyBorder="0" applyAlignment="0" applyProtection="0"/>
    <xf numFmtId="183"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184" fontId="89" fillId="52" borderId="0" applyNumberFormat="0" applyBorder="0" applyAlignment="0" applyProtection="0"/>
    <xf numFmtId="0"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5" fontId="39" fillId="4" borderId="0" applyNumberFormat="0" applyBorder="0" applyAlignment="0" applyProtection="0"/>
    <xf numFmtId="183"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4" fontId="39" fillId="4" borderId="0" applyNumberFormat="0" applyBorder="0" applyAlignment="0" applyProtection="0"/>
    <xf numFmtId="185" fontId="95" fillId="4" borderId="0" applyNumberFormat="0" applyBorder="0" applyAlignment="0" applyProtection="0"/>
    <xf numFmtId="183" fontId="95" fillId="4" borderId="0" applyNumberFormat="0" applyBorder="0" applyAlignment="0" applyProtection="0"/>
    <xf numFmtId="184" fontId="95" fillId="4" borderId="0" applyNumberFormat="0" applyBorder="0" applyAlignment="0" applyProtection="0"/>
    <xf numFmtId="184" fontId="95" fillId="4" borderId="0" applyNumberFormat="0" applyBorder="0" applyAlignment="0" applyProtection="0"/>
    <xf numFmtId="184" fontId="89" fillId="52" borderId="0" applyNumberFormat="0" applyBorder="0" applyAlignment="0" applyProtection="0"/>
    <xf numFmtId="182" fontId="89" fillId="52"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0"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0"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7" fontId="95" fillId="15" borderId="0" applyNumberFormat="0" applyBorder="0" applyAlignment="0" applyProtection="0"/>
    <xf numFmtId="0" fontId="39" fillId="5" borderId="0" applyNumberFormat="0" applyBorder="0" applyAlignment="0" applyProtection="0"/>
    <xf numFmtId="184" fontId="39" fillId="5" borderId="0" applyNumberFormat="0" applyBorder="0" applyAlignment="0" applyProtection="0"/>
    <xf numFmtId="184" fontId="95" fillId="15" borderId="0" applyNumberFormat="0" applyBorder="0" applyAlignment="0" applyProtection="0"/>
    <xf numFmtId="0" fontId="39" fillId="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9" fillId="5"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5" fontId="89" fillId="56" borderId="0" applyNumberFormat="0" applyBorder="0" applyAlignment="0" applyProtection="0"/>
    <xf numFmtId="183"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184" fontId="89" fillId="56" borderId="0" applyNumberFormat="0" applyBorder="0" applyAlignment="0" applyProtection="0"/>
    <xf numFmtId="0"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5" fontId="39" fillId="5" borderId="0" applyNumberFormat="0" applyBorder="0" applyAlignment="0" applyProtection="0"/>
    <xf numFmtId="183"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4" fontId="39" fillId="5" borderId="0" applyNumberFormat="0" applyBorder="0" applyAlignment="0" applyProtection="0"/>
    <xf numFmtId="185" fontId="95" fillId="15" borderId="0" applyNumberFormat="0" applyBorder="0" applyAlignment="0" applyProtection="0"/>
    <xf numFmtId="183" fontId="95" fillId="15" borderId="0" applyNumberFormat="0" applyBorder="0" applyAlignment="0" applyProtection="0"/>
    <xf numFmtId="184" fontId="95" fillId="15" borderId="0" applyNumberFormat="0" applyBorder="0" applyAlignment="0" applyProtection="0"/>
    <xf numFmtId="184" fontId="95" fillId="15" borderId="0" applyNumberFormat="0" applyBorder="0" applyAlignment="0" applyProtection="0"/>
    <xf numFmtId="184" fontId="89" fillId="56" borderId="0" applyNumberFormat="0" applyBorder="0" applyAlignment="0" applyProtection="0"/>
    <xf numFmtId="182" fontId="89" fillId="56"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0"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0"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95" fillId="75"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95" fillId="75" borderId="0" applyNumberFormat="0" applyBorder="0" applyAlignment="0" applyProtection="0"/>
    <xf numFmtId="0" fontId="39" fillId="77"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9" fillId="77"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5" fontId="89" fillId="60" borderId="0" applyNumberFormat="0" applyBorder="0" applyAlignment="0" applyProtection="0"/>
    <xf numFmtId="183"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184" fontId="89" fillId="6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95" fillId="75" borderId="0" applyNumberFormat="0" applyBorder="0" applyAlignment="0" applyProtection="0"/>
    <xf numFmtId="183" fontId="95" fillId="75" borderId="0" applyNumberFormat="0" applyBorder="0" applyAlignment="0" applyProtection="0"/>
    <xf numFmtId="184" fontId="95" fillId="75" borderId="0" applyNumberFormat="0" applyBorder="0" applyAlignment="0" applyProtection="0"/>
    <xf numFmtId="184" fontId="95" fillId="75" borderId="0" applyNumberFormat="0" applyBorder="0" applyAlignment="0" applyProtection="0"/>
    <xf numFmtId="184" fontId="89" fillId="60" borderId="0" applyNumberFormat="0" applyBorder="0" applyAlignment="0" applyProtection="0"/>
    <xf numFmtId="182" fontId="89" fillId="60"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0"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0"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95" fillId="3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95" fillId="31" borderId="0" applyNumberFormat="0" applyBorder="0" applyAlignment="0" applyProtection="0"/>
    <xf numFmtId="0" fontId="39" fillId="78"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9" fillId="78"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5" fontId="89" fillId="64" borderId="0" applyNumberFormat="0" applyBorder="0" applyAlignment="0" applyProtection="0"/>
    <xf numFmtId="183"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184" fontId="89" fillId="64"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95" fillId="31" borderId="0" applyNumberFormat="0" applyBorder="0" applyAlignment="0" applyProtection="0"/>
    <xf numFmtId="183" fontId="95" fillId="31" borderId="0" applyNumberFormat="0" applyBorder="0" applyAlignment="0" applyProtection="0"/>
    <xf numFmtId="184" fontId="95" fillId="31" borderId="0" applyNumberFormat="0" applyBorder="0" applyAlignment="0" applyProtection="0"/>
    <xf numFmtId="184" fontId="95" fillId="31" borderId="0" applyNumberFormat="0" applyBorder="0" applyAlignment="0" applyProtection="0"/>
    <xf numFmtId="184" fontId="89" fillId="64" borderId="0" applyNumberFormat="0" applyBorder="0" applyAlignment="0" applyProtection="0"/>
    <xf numFmtId="182" fontId="89" fillId="6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0"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0"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7" fontId="95" fillId="74" borderId="0" applyNumberFormat="0" applyBorder="0" applyAlignment="0" applyProtection="0"/>
    <xf numFmtId="0" fontId="39" fillId="7" borderId="0" applyNumberFormat="0" applyBorder="0" applyAlignment="0" applyProtection="0"/>
    <xf numFmtId="184" fontId="39" fillId="7" borderId="0" applyNumberFormat="0" applyBorder="0" applyAlignment="0" applyProtection="0"/>
    <xf numFmtId="184" fontId="95" fillId="74" borderId="0" applyNumberFormat="0" applyBorder="0" applyAlignment="0" applyProtection="0"/>
    <xf numFmtId="0" fontId="39" fillId="7"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9" fillId="7"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5" fontId="89" fillId="68" borderId="0" applyNumberFormat="0" applyBorder="0" applyAlignment="0" applyProtection="0"/>
    <xf numFmtId="183"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184" fontId="89" fillId="68" borderId="0" applyNumberFormat="0" applyBorder="0" applyAlignment="0" applyProtection="0"/>
    <xf numFmtId="0"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5" fontId="39" fillId="7" borderId="0" applyNumberFormat="0" applyBorder="0" applyAlignment="0" applyProtection="0"/>
    <xf numFmtId="183"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4" fontId="39" fillId="7" borderId="0" applyNumberFormat="0" applyBorder="0" applyAlignment="0" applyProtection="0"/>
    <xf numFmtId="185" fontId="95" fillId="74" borderId="0" applyNumberFormat="0" applyBorder="0" applyAlignment="0" applyProtection="0"/>
    <xf numFmtId="183" fontId="95" fillId="74" borderId="0" applyNumberFormat="0" applyBorder="0" applyAlignment="0" applyProtection="0"/>
    <xf numFmtId="184" fontId="95" fillId="74" borderId="0" applyNumberFormat="0" applyBorder="0" applyAlignment="0" applyProtection="0"/>
    <xf numFmtId="184" fontId="95" fillId="74" borderId="0" applyNumberFormat="0" applyBorder="0" applyAlignment="0" applyProtection="0"/>
    <xf numFmtId="184" fontId="89" fillId="68" borderId="0" applyNumberFormat="0" applyBorder="0" applyAlignment="0" applyProtection="0"/>
    <xf numFmtId="182" fontId="89" fillId="68" borderId="0" applyNumberFormat="0" applyBorder="0" applyAlignment="0" applyProtection="0"/>
    <xf numFmtId="184" fontId="38" fillId="8" borderId="0" applyNumberFormat="0" applyBorder="0" applyAlignment="0" applyProtection="0"/>
    <xf numFmtId="182" fontId="38" fillId="79"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79" borderId="0" applyNumberFormat="0" applyBorder="0" applyAlignment="0" applyProtection="0"/>
    <xf numFmtId="183" fontId="38" fillId="79" borderId="0" applyNumberFormat="0" applyBorder="0" applyAlignment="0" applyProtection="0"/>
    <xf numFmtId="183"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79" borderId="0" applyNumberFormat="0" applyBorder="0" applyAlignment="0" applyProtection="0"/>
    <xf numFmtId="184" fontId="38" fillId="79" borderId="0" applyNumberFormat="0" applyBorder="0" applyAlignment="0" applyProtection="0"/>
    <xf numFmtId="184" fontId="38" fillId="79"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9" borderId="0" applyNumberFormat="0" applyBorder="0" applyAlignment="0" applyProtection="0"/>
    <xf numFmtId="182" fontId="38" fillId="1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2" fontId="39" fillId="80" borderId="0" applyNumberFormat="0" applyBorder="0" applyAlignment="0" applyProtection="0"/>
    <xf numFmtId="0"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10" borderId="0" applyNumberFormat="0" applyBorder="0" applyAlignment="0" applyProtection="0"/>
    <xf numFmtId="185"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3"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7"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0" fontId="39" fillId="10" borderId="0" applyNumberFormat="0" applyBorder="0" applyAlignment="0" applyProtection="0"/>
    <xf numFmtId="184" fontId="39" fillId="10" borderId="0" applyNumberFormat="0" applyBorder="0" applyAlignment="0" applyProtection="0"/>
    <xf numFmtId="184" fontId="39" fillId="10"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4" fontId="39" fillId="81" borderId="0" applyNumberFormat="0" applyBorder="0" applyAlignment="0" applyProtection="0"/>
    <xf numFmtId="184"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182" fontId="89" fillId="45"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0"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7" fontId="39" fillId="81" borderId="0" applyNumberFormat="0" applyBorder="0" applyAlignment="0" applyProtection="0"/>
    <xf numFmtId="0" fontId="39" fillId="82" borderId="0" applyNumberFormat="0" applyBorder="0" applyAlignment="0" applyProtection="0"/>
    <xf numFmtId="184" fontId="39" fillId="82"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0"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5" fontId="89" fillId="45" borderId="0" applyNumberFormat="0" applyBorder="0" applyAlignment="0" applyProtection="0"/>
    <xf numFmtId="183"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184" fontId="89" fillId="45"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7"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2"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0"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5"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185" fontId="39" fillId="81" borderId="0" applyNumberFormat="0" applyBorder="0" applyAlignment="0" applyProtection="0"/>
    <xf numFmtId="183" fontId="39" fillId="81" borderId="0" applyNumberFormat="0" applyBorder="0" applyAlignment="0" applyProtection="0"/>
    <xf numFmtId="184" fontId="39" fillId="81" borderId="0" applyNumberFormat="0" applyBorder="0" applyAlignment="0" applyProtection="0"/>
    <xf numFmtId="184" fontId="39" fillId="81"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0" fontId="39" fillId="82" borderId="0" applyNumberFormat="0" applyBorder="0" applyAlignment="0" applyProtection="0"/>
    <xf numFmtId="183" fontId="39" fillId="82" borderId="0" applyNumberFormat="0" applyBorder="0" applyAlignment="0" applyProtection="0"/>
    <xf numFmtId="184" fontId="39" fillId="82" borderId="0" applyNumberFormat="0" applyBorder="0" applyAlignment="0" applyProtection="0"/>
    <xf numFmtId="184" fontId="39" fillId="82" borderId="0" applyNumberFormat="0" applyBorder="0" applyAlignment="0" applyProtection="0"/>
    <xf numFmtId="184" fontId="38" fillId="12" borderId="0" applyNumberFormat="0" applyBorder="0" applyAlignment="0" applyProtection="0"/>
    <xf numFmtId="182" fontId="38" fillId="83" borderId="0" applyNumberFormat="0" applyBorder="0" applyAlignment="0" applyProtection="0"/>
    <xf numFmtId="0"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5"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183" fontId="38" fillId="12" borderId="0" applyNumberFormat="0" applyBorder="0" applyAlignment="0" applyProtection="0"/>
    <xf numFmtId="183"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7"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0" fontId="38" fillId="12" borderId="0" applyNumberFormat="0" applyBorder="0" applyAlignment="0" applyProtection="0"/>
    <xf numFmtId="184" fontId="38" fillId="12" borderId="0" applyNumberFormat="0" applyBorder="0" applyAlignment="0" applyProtection="0"/>
    <xf numFmtId="184" fontId="38" fillId="13" borderId="0" applyNumberFormat="0" applyBorder="0" applyAlignment="0" applyProtection="0"/>
    <xf numFmtId="182" fontId="38" fillId="17"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1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3" borderId="0" applyNumberFormat="0" applyBorder="0" applyAlignment="0" applyProtection="0"/>
    <xf numFmtId="183" fontId="39" fillId="13" borderId="0" applyNumberFormat="0" applyBorder="0" applyAlignment="0" applyProtection="0"/>
    <xf numFmtId="184" fontId="39" fillId="13" borderId="0" applyNumberFormat="0" applyBorder="0" applyAlignment="0" applyProtection="0"/>
    <xf numFmtId="184" fontId="39" fillId="13"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4" fontId="39" fillId="84" borderId="0" applyNumberFormat="0" applyBorder="0" applyAlignment="0" applyProtection="0"/>
    <xf numFmtId="184"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182" fontId="89" fillId="49"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0"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7" fontId="39" fillId="84" borderId="0" applyNumberFormat="0" applyBorder="0" applyAlignment="0" applyProtection="0"/>
    <xf numFmtId="0" fontId="39" fillId="11" borderId="0" applyNumberFormat="0" applyBorder="0" applyAlignment="0" applyProtection="0"/>
    <xf numFmtId="184" fontId="39" fillId="11"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0"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5" fontId="89" fillId="49" borderId="0" applyNumberFormat="0" applyBorder="0" applyAlignment="0" applyProtection="0"/>
    <xf numFmtId="183"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184" fontId="89" fillId="49"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7"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2"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0"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5"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185" fontId="39" fillId="84" borderId="0" applyNumberFormat="0" applyBorder="0" applyAlignment="0" applyProtection="0"/>
    <xf numFmtId="183" fontId="39" fillId="84" borderId="0" applyNumberFormat="0" applyBorder="0" applyAlignment="0" applyProtection="0"/>
    <xf numFmtId="184" fontId="39" fillId="84" borderId="0" applyNumberFormat="0" applyBorder="0" applyAlignment="0" applyProtection="0"/>
    <xf numFmtId="184" fontId="39" fillId="84"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0" fontId="39" fillId="11" borderId="0" applyNumberFormat="0" applyBorder="0" applyAlignment="0" applyProtection="0"/>
    <xf numFmtId="183" fontId="39" fillId="11" borderId="0" applyNumberFormat="0" applyBorder="0" applyAlignment="0" applyProtection="0"/>
    <xf numFmtId="184" fontId="39" fillId="11" borderId="0" applyNumberFormat="0" applyBorder="0" applyAlignment="0" applyProtection="0"/>
    <xf numFmtId="184" fontId="39" fillId="11" borderId="0" applyNumberFormat="0" applyBorder="0" applyAlignment="0" applyProtection="0"/>
    <xf numFmtId="184" fontId="38" fillId="16" borderId="0" applyNumberFormat="0" applyBorder="0" applyAlignment="0" applyProtection="0"/>
    <xf numFmtId="182" fontId="38" fillId="85"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5" borderId="0" applyNumberFormat="0" applyBorder="0" applyAlignment="0" applyProtection="0"/>
    <xf numFmtId="183" fontId="38" fillId="85" borderId="0" applyNumberFormat="0" applyBorder="0" applyAlignment="0" applyProtection="0"/>
    <xf numFmtId="183"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85" borderId="0" applyNumberFormat="0" applyBorder="0" applyAlignment="0" applyProtection="0"/>
    <xf numFmtId="184" fontId="38" fillId="85" borderId="0" applyNumberFormat="0" applyBorder="0" applyAlignment="0" applyProtection="0"/>
    <xf numFmtId="184" fontId="38" fillId="85"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5"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7"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7" borderId="0" applyNumberFormat="0" applyBorder="0" applyAlignment="0" applyProtection="0"/>
    <xf numFmtId="182" fontId="38" fillId="86"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6"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2" fontId="39" fillId="8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87" borderId="0" applyNumberFormat="0" applyBorder="0" applyAlignment="0" applyProtection="0"/>
    <xf numFmtId="183" fontId="39" fillId="87" borderId="0" applyNumberFormat="0" applyBorder="0" applyAlignment="0" applyProtection="0"/>
    <xf numFmtId="184" fontId="39" fillId="87" borderId="0" applyNumberFormat="0" applyBorder="0" applyAlignment="0" applyProtection="0"/>
    <xf numFmtId="184" fontId="39" fillId="8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89" fillId="53" borderId="0" applyNumberFormat="0" applyBorder="0" applyAlignment="0" applyProtection="0"/>
    <xf numFmtId="184" fontId="89" fillId="53"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0" fontId="39" fillId="88" borderId="0" applyNumberFormat="0" applyBorder="0" applyAlignment="0" applyProtection="0"/>
    <xf numFmtId="184" fontId="39" fillId="88" borderId="0" applyNumberFormat="0" applyBorder="0" applyAlignment="0" applyProtection="0"/>
    <xf numFmtId="184"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182" fontId="89" fillId="53"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0"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7"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0"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5" fontId="89" fillId="53" borderId="0" applyNumberFormat="0" applyBorder="0" applyAlignment="0" applyProtection="0"/>
    <xf numFmtId="183"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184" fontId="89" fillId="53"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7" fontId="39" fillId="14" borderId="0" applyNumberFormat="0" applyBorder="0" applyAlignment="0" applyProtection="0"/>
    <xf numFmtId="0"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2" fontId="39" fillId="88"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5"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0"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0" fontId="39" fillId="88" borderId="0" applyNumberFormat="0" applyBorder="0" applyAlignment="0" applyProtection="0"/>
    <xf numFmtId="183" fontId="39" fillId="88" borderId="0" applyNumberFormat="0" applyBorder="0" applyAlignment="0" applyProtection="0"/>
    <xf numFmtId="184" fontId="39" fillId="88" borderId="0" applyNumberFormat="0" applyBorder="0" applyAlignment="0" applyProtection="0"/>
    <xf numFmtId="184" fontId="39" fillId="88"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5"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185" fontId="39" fillId="14" borderId="0" applyNumberFormat="0" applyBorder="0" applyAlignment="0" applyProtection="0"/>
    <xf numFmtId="183" fontId="39" fillId="14" borderId="0" applyNumberFormat="0" applyBorder="0" applyAlignment="0" applyProtection="0"/>
    <xf numFmtId="184" fontId="39" fillId="14" borderId="0" applyNumberFormat="0" applyBorder="0" applyAlignment="0" applyProtection="0"/>
    <xf numFmtId="184" fontId="39" fillId="14"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0" fontId="39" fillId="15" borderId="0" applyNumberFormat="0" applyBorder="0" applyAlignment="0" applyProtection="0"/>
    <xf numFmtId="183" fontId="39" fillId="15" borderId="0" applyNumberFormat="0" applyBorder="0" applyAlignment="0" applyProtection="0"/>
    <xf numFmtId="184" fontId="39" fillId="15" borderId="0" applyNumberFormat="0" applyBorder="0" applyAlignment="0" applyProtection="0"/>
    <xf numFmtId="184" fontId="39" fillId="15" borderId="0" applyNumberFormat="0" applyBorder="0" applyAlignment="0" applyProtection="0"/>
    <xf numFmtId="184" fontId="38" fillId="17" borderId="0" applyNumberFormat="0" applyBorder="0" applyAlignment="0" applyProtection="0"/>
    <xf numFmtId="182" fontId="38" fillId="83"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83" borderId="0" applyNumberFormat="0" applyBorder="0" applyAlignment="0" applyProtection="0"/>
    <xf numFmtId="183" fontId="38" fillId="83" borderId="0" applyNumberFormat="0" applyBorder="0" applyAlignment="0" applyProtection="0"/>
    <xf numFmtId="183"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83" borderId="0" applyNumberFormat="0" applyBorder="0" applyAlignment="0" applyProtection="0"/>
    <xf numFmtId="184" fontId="38" fillId="83" borderId="0" applyNumberFormat="0" applyBorder="0" applyAlignment="0" applyProtection="0"/>
    <xf numFmtId="184" fontId="38" fillId="83"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5"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3"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7"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0"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2" fontId="38" fillId="14"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2" fontId="39" fillId="17" borderId="0" applyNumberFormat="0" applyBorder="0" applyAlignment="0" applyProtection="0"/>
    <xf numFmtId="0"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7" borderId="0" applyNumberFormat="0" applyBorder="0" applyAlignment="0" applyProtection="0"/>
    <xf numFmtId="183" fontId="39" fillId="17" borderId="0" applyNumberFormat="0" applyBorder="0" applyAlignment="0" applyProtection="0"/>
    <xf numFmtId="184" fontId="39" fillId="17" borderId="0" applyNumberFormat="0" applyBorder="0" applyAlignment="0" applyProtection="0"/>
    <xf numFmtId="184" fontId="39" fillId="17" borderId="0" applyNumberFormat="0" applyBorder="0" applyAlignment="0" applyProtection="0"/>
    <xf numFmtId="184" fontId="39" fillId="18" borderId="0" applyNumberFormat="0" applyBorder="0" applyAlignment="0" applyProtection="0"/>
    <xf numFmtId="185"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3"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7"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0" fontId="39" fillId="18" borderId="0" applyNumberFormat="0" applyBorder="0" applyAlignment="0" applyProtection="0"/>
    <xf numFmtId="184" fontId="39" fillId="18" borderId="0" applyNumberFormat="0" applyBorder="0" applyAlignment="0" applyProtection="0"/>
    <xf numFmtId="184" fontId="39" fillId="18"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89" fillId="57" borderId="0" applyNumberFormat="0" applyBorder="0" applyAlignment="0" applyProtection="0"/>
    <xf numFmtId="184" fontId="89" fillId="57"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0" fontId="39" fillId="90" borderId="0" applyNumberFormat="0" applyBorder="0" applyAlignment="0" applyProtection="0"/>
    <xf numFmtId="184" fontId="39" fillId="90" borderId="0" applyNumberFormat="0" applyBorder="0" applyAlignment="0" applyProtection="0"/>
    <xf numFmtId="184"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182" fontId="89" fillId="57"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0"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7"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0"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5" fontId="89" fillId="57" borderId="0" applyNumberFormat="0" applyBorder="0" applyAlignment="0" applyProtection="0"/>
    <xf numFmtId="183"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184" fontId="89" fillId="57"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7" fontId="39" fillId="89" borderId="0" applyNumberFormat="0" applyBorder="0" applyAlignment="0" applyProtection="0"/>
    <xf numFmtId="0"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2" fontId="39" fillId="90"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5"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0"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0" fontId="39" fillId="90" borderId="0" applyNumberFormat="0" applyBorder="0" applyAlignment="0" applyProtection="0"/>
    <xf numFmtId="183" fontId="39" fillId="90" borderId="0" applyNumberFormat="0" applyBorder="0" applyAlignment="0" applyProtection="0"/>
    <xf numFmtId="184" fontId="39" fillId="90" borderId="0" applyNumberFormat="0" applyBorder="0" applyAlignment="0" applyProtection="0"/>
    <xf numFmtId="184" fontId="39" fillId="90"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5"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185" fontId="39" fillId="89" borderId="0" applyNumberFormat="0" applyBorder="0" applyAlignment="0" applyProtection="0"/>
    <xf numFmtId="183" fontId="39" fillId="89" borderId="0" applyNumberFormat="0" applyBorder="0" applyAlignment="0" applyProtection="0"/>
    <xf numFmtId="184" fontId="39" fillId="89" borderId="0" applyNumberFormat="0" applyBorder="0" applyAlignment="0" applyProtection="0"/>
    <xf numFmtId="184" fontId="39" fillId="89"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0" fontId="39" fillId="77" borderId="0" applyNumberFormat="0" applyBorder="0" applyAlignment="0" applyProtection="0"/>
    <xf numFmtId="183" fontId="39" fillId="77" borderId="0" applyNumberFormat="0" applyBorder="0" applyAlignment="0" applyProtection="0"/>
    <xf numFmtId="184" fontId="39" fillId="77" borderId="0" applyNumberFormat="0" applyBorder="0" applyAlignment="0" applyProtection="0"/>
    <xf numFmtId="184" fontId="39" fillId="77" borderId="0" applyNumberFormat="0" applyBorder="0" applyAlignment="0" applyProtection="0"/>
    <xf numFmtId="184" fontId="38" fillId="8" borderId="0" applyNumberFormat="0" applyBorder="0" applyAlignment="0" applyProtection="0"/>
    <xf numFmtId="182" fontId="38" fillId="16" borderId="0" applyNumberFormat="0" applyBorder="0" applyAlignment="0" applyProtection="0"/>
    <xf numFmtId="0"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16" borderId="0" applyNumberFormat="0" applyBorder="0" applyAlignment="0" applyProtection="0"/>
    <xf numFmtId="183" fontId="38" fillId="16" borderId="0" applyNumberFormat="0" applyBorder="0" applyAlignment="0" applyProtection="0"/>
    <xf numFmtId="183"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16" borderId="0" applyNumberFormat="0" applyBorder="0" applyAlignment="0" applyProtection="0"/>
    <xf numFmtId="184" fontId="38" fillId="16" borderId="0" applyNumberFormat="0" applyBorder="0" applyAlignment="0" applyProtection="0"/>
    <xf numFmtId="184" fontId="38" fillId="16"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5"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183" fontId="38" fillId="8" borderId="0" applyNumberFormat="0" applyBorder="0" applyAlignment="0" applyProtection="0"/>
    <xf numFmtId="183"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187"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8" borderId="0" applyNumberFormat="0" applyBorder="0" applyAlignment="0" applyProtection="0"/>
    <xf numFmtId="184" fontId="38" fillId="8"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2" fontId="38" fillId="9" borderId="0" applyNumberFormat="0" applyBorder="0" applyAlignment="0" applyProtection="0"/>
    <xf numFmtId="182" fontId="39" fillId="80" borderId="0" applyNumberFormat="0" applyBorder="0" applyAlignment="0" applyProtection="0"/>
    <xf numFmtId="0"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 borderId="0" applyNumberFormat="0" applyBorder="0" applyAlignment="0" applyProtection="0"/>
    <xf numFmtId="185"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3"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7"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0" fontId="39" fillId="9" borderId="0" applyNumberFormat="0" applyBorder="0" applyAlignment="0" applyProtection="0"/>
    <xf numFmtId="184" fontId="39" fillId="9" borderId="0" applyNumberFormat="0" applyBorder="0" applyAlignment="0" applyProtection="0"/>
    <xf numFmtId="184" fontId="39" fillId="9"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89" fillId="61" borderId="0" applyNumberFormat="0" applyBorder="0" applyAlignment="0" applyProtection="0"/>
    <xf numFmtId="184" fontId="89" fillId="61"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0" fontId="39" fillId="80" borderId="0" applyNumberFormat="0" applyBorder="0" applyAlignment="0" applyProtection="0"/>
    <xf numFmtId="184" fontId="39" fillId="80" borderId="0" applyNumberFormat="0" applyBorder="0" applyAlignment="0" applyProtection="0"/>
    <xf numFmtId="184"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182" fontId="89" fillId="6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0"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7" fontId="39" fillId="91" borderId="0" applyNumberFormat="0" applyBorder="0" applyAlignment="0" applyProtection="0"/>
    <xf numFmtId="184" fontId="39" fillId="9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7"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0"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5" fontId="89" fillId="61" borderId="0" applyNumberFormat="0" applyBorder="0" applyAlignment="0" applyProtection="0"/>
    <xf numFmtId="183"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184" fontId="89" fillId="6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7" fontId="39" fillId="91" borderId="0" applyNumberFormat="0" applyBorder="0" applyAlignment="0" applyProtection="0"/>
    <xf numFmtId="0"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2" fontId="39" fillId="80"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5"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0"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0" fontId="39" fillId="80" borderId="0" applyNumberFormat="0" applyBorder="0" applyAlignment="0" applyProtection="0"/>
    <xf numFmtId="183" fontId="39" fillId="80" borderId="0" applyNumberFormat="0" applyBorder="0" applyAlignment="0" applyProtection="0"/>
    <xf numFmtId="184" fontId="39" fillId="80" borderId="0" applyNumberFormat="0" applyBorder="0" applyAlignment="0" applyProtection="0"/>
    <xf numFmtId="184" fontId="39" fillId="80"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5"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185" fontId="39" fillId="91" borderId="0" applyNumberFormat="0" applyBorder="0" applyAlignment="0" applyProtection="0"/>
    <xf numFmtId="183" fontId="39" fillId="91" borderId="0" applyNumberFormat="0" applyBorder="0" applyAlignment="0" applyProtection="0"/>
    <xf numFmtId="184" fontId="39" fillId="91" borderId="0" applyNumberFormat="0" applyBorder="0" applyAlignment="0" applyProtection="0"/>
    <xf numFmtId="184" fontId="39" fillId="91"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9" fillId="78" borderId="0" applyNumberFormat="0" applyBorder="0" applyAlignment="0" applyProtection="0"/>
    <xf numFmtId="183" fontId="39" fillId="78" borderId="0" applyNumberFormat="0" applyBorder="0" applyAlignment="0" applyProtection="0"/>
    <xf numFmtId="184" fontId="39" fillId="78" borderId="0" applyNumberFormat="0" applyBorder="0" applyAlignment="0" applyProtection="0"/>
    <xf numFmtId="184" fontId="39" fillId="78" borderId="0" applyNumberFormat="0" applyBorder="0" applyAlignment="0" applyProtection="0"/>
    <xf numFmtId="0"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5"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3" fontId="38" fillId="20" borderId="0" applyNumberFormat="0" applyBorder="0" applyAlignment="0" applyProtection="0"/>
    <xf numFmtId="183"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0" fontId="38" fillId="20" borderId="0" applyNumberFormat="0" applyBorder="0" applyAlignment="0" applyProtection="0"/>
    <xf numFmtId="184" fontId="38" fillId="20" borderId="0" applyNumberFormat="0" applyBorder="0" applyAlignment="0" applyProtection="0"/>
    <xf numFmtId="187" fontId="38" fillId="20" borderId="0" applyNumberFormat="0" applyBorder="0" applyAlignment="0" applyProtection="0"/>
    <xf numFmtId="184" fontId="38" fillId="20" borderId="0" applyNumberFormat="0" applyBorder="0" applyAlignment="0" applyProtection="0"/>
    <xf numFmtId="184" fontId="38" fillId="20" borderId="0" applyNumberFormat="0" applyBorder="0" applyAlignment="0" applyProtection="0"/>
    <xf numFmtId="182" fontId="38" fillId="20" borderId="0" applyNumberFormat="0" applyBorder="0" applyAlignment="0" applyProtection="0"/>
    <xf numFmtId="184" fontId="38" fillId="13" borderId="0" applyNumberFormat="0" applyBorder="0" applyAlignment="0" applyProtection="0"/>
    <xf numFmtId="182" fontId="38" fillId="21"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5"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3"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7"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0" fontId="38" fillId="13" borderId="0" applyNumberFormat="0" applyBorder="0" applyAlignment="0" applyProtection="0"/>
    <xf numFmtId="184" fontId="38" fillId="13" borderId="0" applyNumberFormat="0" applyBorder="0" applyAlignment="0" applyProtection="0"/>
    <xf numFmtId="182" fontId="39" fillId="92" borderId="0" applyNumberFormat="0" applyBorder="0" applyAlignment="0" applyProtection="0"/>
    <xf numFmtId="0"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92" borderId="0" applyNumberFormat="0" applyBorder="0" applyAlignment="0" applyProtection="0"/>
    <xf numFmtId="183" fontId="39" fillId="92" borderId="0" applyNumberFormat="0" applyBorder="0" applyAlignment="0" applyProtection="0"/>
    <xf numFmtId="184" fontId="39" fillId="92" borderId="0" applyNumberFormat="0" applyBorder="0" applyAlignment="0" applyProtection="0"/>
    <xf numFmtId="184" fontId="39" fillId="92" borderId="0" applyNumberFormat="0" applyBorder="0" applyAlignment="0" applyProtection="0"/>
    <xf numFmtId="184" fontId="39" fillId="21" borderId="0" applyNumberFormat="0" applyBorder="0" applyAlignment="0" applyProtection="0"/>
    <xf numFmtId="185"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3"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7"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0" fontId="39" fillId="21" borderId="0" applyNumberFormat="0" applyBorder="0" applyAlignment="0" applyProtection="0"/>
    <xf numFmtId="184" fontId="39" fillId="21" borderId="0" applyNumberFormat="0" applyBorder="0" applyAlignment="0" applyProtection="0"/>
    <xf numFmtId="184" fontId="39" fillId="21"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89" fillId="65" borderId="0" applyNumberFormat="0" applyBorder="0" applyAlignment="0" applyProtection="0"/>
    <xf numFmtId="184" fontId="89" fillId="65"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0" fontId="39" fillId="94" borderId="0" applyNumberFormat="0" applyBorder="0" applyAlignment="0" applyProtection="0"/>
    <xf numFmtId="184" fontId="39" fillId="94" borderId="0" applyNumberFormat="0" applyBorder="0" applyAlignment="0" applyProtection="0"/>
    <xf numFmtId="184"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182" fontId="89" fillId="65"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0"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7"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0"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5" fontId="89" fillId="65" borderId="0" applyNumberFormat="0" applyBorder="0" applyAlignment="0" applyProtection="0"/>
    <xf numFmtId="183"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184" fontId="89" fillId="65"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7" fontId="39" fillId="93" borderId="0" applyNumberFormat="0" applyBorder="0" applyAlignment="0" applyProtection="0"/>
    <xf numFmtId="0"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2" fontId="39" fillId="94"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5"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0"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0" fontId="39" fillId="94" borderId="0" applyNumberFormat="0" applyBorder="0" applyAlignment="0" applyProtection="0"/>
    <xf numFmtId="183" fontId="39" fillId="94" borderId="0" applyNumberFormat="0" applyBorder="0" applyAlignment="0" applyProtection="0"/>
    <xf numFmtId="184" fontId="39" fillId="94" borderId="0" applyNumberFormat="0" applyBorder="0" applyAlignment="0" applyProtection="0"/>
    <xf numFmtId="184" fontId="39" fillId="94"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5"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185" fontId="39" fillId="93" borderId="0" applyNumberFormat="0" applyBorder="0" applyAlignment="0" applyProtection="0"/>
    <xf numFmtId="183" fontId="39" fillId="93" borderId="0" applyNumberFormat="0" applyBorder="0" applyAlignment="0" applyProtection="0"/>
    <xf numFmtId="184" fontId="39" fillId="93" borderId="0" applyNumberFormat="0" applyBorder="0" applyAlignment="0" applyProtection="0"/>
    <xf numFmtId="184" fontId="39" fillId="93"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39" fillId="19" borderId="0" applyNumberFormat="0" applyBorder="0" applyAlignment="0" applyProtection="0"/>
    <xf numFmtId="183" fontId="39" fillId="19" borderId="0" applyNumberFormat="0" applyBorder="0" applyAlignment="0" applyProtection="0"/>
    <xf numFmtId="184" fontId="39" fillId="19" borderId="0" applyNumberFormat="0" applyBorder="0" applyAlignment="0" applyProtection="0"/>
    <xf numFmtId="184" fontId="39"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30">
      <alignment horizontal="center" vertical="center"/>
    </xf>
    <xf numFmtId="189" fontId="90" fillId="95" borderId="30">
      <alignment horizontal="center" vertical="center"/>
    </xf>
    <xf numFmtId="188" fontId="22" fillId="95" borderId="30">
      <alignment horizontal="center" vertical="center"/>
    </xf>
    <xf numFmtId="0" fontId="31" fillId="0" borderId="0">
      <alignment horizontal="center" wrapText="1"/>
      <protection locked="0"/>
    </xf>
    <xf numFmtId="0"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5"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183" fontId="31" fillId="0" borderId="0">
      <alignment horizontal="center" wrapText="1"/>
      <protection locked="0"/>
    </xf>
    <xf numFmtId="184" fontId="31" fillId="0" borderId="0">
      <alignment horizontal="center" wrapText="1"/>
      <protection locked="0"/>
    </xf>
    <xf numFmtId="187" fontId="31" fillId="0" borderId="0">
      <alignment horizontal="center" wrapText="1"/>
      <protection locked="0"/>
    </xf>
    <xf numFmtId="184" fontId="31" fillId="0" borderId="0">
      <alignment horizontal="center" wrapText="1"/>
      <protection locked="0"/>
    </xf>
    <xf numFmtId="184" fontId="31" fillId="0" borderId="0">
      <alignment horizontal="center" wrapText="1"/>
      <protection locked="0"/>
    </xf>
    <xf numFmtId="0" fontId="96" fillId="2"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2" fontId="97" fillId="20" borderId="0" applyNumberFormat="0" applyBorder="0" applyAlignment="0" applyProtection="0"/>
    <xf numFmtId="0"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7" fontId="98" fillId="13" borderId="0" applyNumberFormat="0" applyBorder="0" applyAlignment="0" applyProtection="0"/>
    <xf numFmtId="184" fontId="98" fillId="13" borderId="0" applyNumberFormat="0" applyBorder="0" applyAlignment="0" applyProtection="0"/>
    <xf numFmtId="184" fontId="80" fillId="39"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97" fillId="20"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97" fillId="20" borderId="0" applyNumberFormat="0" applyBorder="0" applyAlignment="0" applyProtection="0"/>
    <xf numFmtId="184" fontId="97" fillId="20" borderId="0" applyNumberFormat="0" applyBorder="0" applyAlignment="0" applyProtection="0"/>
    <xf numFmtId="184" fontId="97" fillId="20"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7" fontId="98" fillId="13" borderId="0" applyNumberFormat="0" applyBorder="0" applyAlignment="0" applyProtection="0"/>
    <xf numFmtId="0" fontId="96" fillId="2" borderId="0" applyNumberFormat="0" applyBorder="0" applyAlignment="0" applyProtection="0"/>
    <xf numFmtId="184" fontId="96" fillId="2" borderId="0" applyNumberFormat="0" applyBorder="0" applyAlignment="0" applyProtection="0"/>
    <xf numFmtId="184" fontId="98" fillId="13" borderId="0" applyNumberFormat="0" applyBorder="0" applyAlignment="0" applyProtection="0"/>
    <xf numFmtId="0"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5" fontId="80" fillId="39" borderId="0" applyNumberFormat="0" applyBorder="0" applyAlignment="0" applyProtection="0"/>
    <xf numFmtId="183"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0" fontId="96" fillId="2" borderId="0" applyNumberFormat="0" applyBorder="0" applyAlignment="0" applyProtection="0"/>
    <xf numFmtId="0" fontId="98" fillId="13" borderId="0" applyNumberFormat="0" applyBorder="0" applyAlignment="0" applyProtection="0"/>
    <xf numFmtId="0"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5" fontId="96" fillId="2" borderId="0" applyNumberFormat="0" applyBorder="0" applyAlignment="0" applyProtection="0"/>
    <xf numFmtId="183"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4" fontId="96" fillId="2" borderId="0" applyNumberFormat="0" applyBorder="0" applyAlignment="0" applyProtection="0"/>
    <xf numFmtId="185" fontId="98" fillId="13" borderId="0" applyNumberFormat="0" applyBorder="0" applyAlignment="0" applyProtection="0"/>
    <xf numFmtId="183" fontId="98" fillId="13" borderId="0" applyNumberFormat="0" applyBorder="0" applyAlignment="0" applyProtection="0"/>
    <xf numFmtId="184" fontId="98" fillId="13" borderId="0" applyNumberFormat="0" applyBorder="0" applyAlignment="0" applyProtection="0"/>
    <xf numFmtId="184" fontId="98" fillId="13" borderId="0" applyNumberFormat="0" applyBorder="0" applyAlignment="0" applyProtection="0"/>
    <xf numFmtId="0" fontId="80" fillId="39" borderId="0" applyNumberFormat="0" applyBorder="0" applyAlignment="0" applyProtection="0"/>
    <xf numFmtId="184" fontId="80" fillId="39" borderId="0" applyNumberFormat="0" applyBorder="0" applyAlignment="0" applyProtection="0"/>
    <xf numFmtId="184" fontId="80" fillId="39" borderId="0" applyNumberFormat="0" applyBorder="0" applyAlignment="0" applyProtection="0"/>
    <xf numFmtId="182" fontId="80" fillId="39" borderId="0" applyNumberFormat="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5"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83" fontId="99" fillId="0" borderId="0" applyNumberFormat="0" applyFill="0" applyBorder="0" applyAlignment="0" applyProtection="0"/>
    <xf numFmtId="184" fontId="99" fillId="0" borderId="0" applyNumberFormat="0" applyFill="0" applyBorder="0" applyAlignment="0" applyProtection="0"/>
    <xf numFmtId="187" fontId="99" fillId="0" borderId="0" applyNumberFormat="0" applyFill="0" applyBorder="0" applyAlignment="0" applyProtection="0"/>
    <xf numFmtId="184" fontId="99" fillId="0" borderId="0" applyNumberFormat="0" applyFill="0" applyBorder="0" applyAlignment="0" applyProtection="0"/>
    <xf numFmtId="184" fontId="99" fillId="0" borderId="0" applyNumberFormat="0" applyFill="0" applyBorder="0" applyAlignment="0" applyProtection="0"/>
    <xf numFmtId="171" fontId="100" fillId="0" borderId="3" applyFont="0"/>
    <xf numFmtId="1" fontId="100" fillId="0" borderId="3"/>
    <xf numFmtId="9" fontId="101" fillId="0" borderId="29"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4" fillId="42" borderId="23" applyNumberFormat="0" applyAlignment="0" applyProtection="0"/>
    <xf numFmtId="0" fontId="102" fillId="75"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0" fontId="103" fillId="96" borderId="32" applyNumberFormat="0" applyAlignment="0" applyProtection="0"/>
    <xf numFmtId="184" fontId="103" fillId="96" borderId="32" applyNumberFormat="0" applyAlignment="0" applyProtection="0"/>
    <xf numFmtId="184" fontId="102" fillId="75" borderId="31" applyNumberFormat="0" applyAlignment="0" applyProtection="0"/>
    <xf numFmtId="182" fontId="103" fillId="96" borderId="32" applyNumberFormat="0" applyAlignment="0" applyProtection="0"/>
    <xf numFmtId="0"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3" fillId="96" borderId="32"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0" fontId="103" fillId="96" borderId="32" applyNumberFormat="0" applyAlignment="0" applyProtection="0"/>
    <xf numFmtId="184" fontId="103" fillId="96" borderId="32" applyNumberFormat="0" applyAlignment="0" applyProtection="0"/>
    <xf numFmtId="184" fontId="103" fillId="96" borderId="32"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0"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7"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102" fillId="75"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84" fillId="42" borderId="23" applyNumberFormat="0" applyAlignment="0" applyProtection="0"/>
    <xf numFmtId="184" fontId="84" fillId="42" borderId="23" applyNumberFormat="0" applyAlignment="0" applyProtection="0"/>
    <xf numFmtId="185" fontId="84" fillId="42" borderId="23" applyNumberFormat="0" applyAlignment="0" applyProtection="0"/>
    <xf numFmtId="183"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184" fontId="84" fillId="42" borderId="23" applyNumberFormat="0" applyAlignment="0" applyProtection="0"/>
    <xf numFmtId="0"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3" fontId="102" fillId="75" borderId="31" applyNumberFormat="0" applyAlignment="0" applyProtection="0"/>
    <xf numFmtId="183"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0" fontId="102" fillId="75" borderId="31" applyNumberFormat="0" applyAlignment="0" applyProtection="0"/>
    <xf numFmtId="184" fontId="102" fillId="75" borderId="31" applyNumberFormat="0" applyAlignment="0" applyProtection="0"/>
    <xf numFmtId="184" fontId="102" fillId="75" borderId="31" applyNumberFormat="0" applyAlignment="0" applyProtection="0"/>
    <xf numFmtId="185" fontId="104" fillId="97" borderId="31" applyNumberFormat="0" applyAlignment="0" applyProtection="0"/>
    <xf numFmtId="183" fontId="104" fillId="97" borderId="31" applyNumberFormat="0" applyAlignment="0" applyProtection="0"/>
    <xf numFmtId="183"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185" fontId="104" fillId="97" borderId="31" applyNumberFormat="0" applyAlignment="0" applyProtection="0"/>
    <xf numFmtId="184" fontId="104" fillId="97" borderId="31" applyNumberFormat="0" applyAlignment="0" applyProtection="0"/>
    <xf numFmtId="184" fontId="104" fillId="97" borderId="31" applyNumberFormat="0" applyAlignment="0" applyProtection="0"/>
    <xf numFmtId="0" fontId="84" fillId="42" borderId="23" applyNumberFormat="0" applyAlignment="0" applyProtection="0"/>
    <xf numFmtId="184" fontId="84" fillId="42" borderId="23" applyNumberFormat="0" applyAlignment="0" applyProtection="0"/>
    <xf numFmtId="0" fontId="103" fillId="96" borderId="32" applyNumberFormat="0" applyAlignment="0" applyProtection="0"/>
    <xf numFmtId="184" fontId="103" fillId="96" borderId="32" applyNumberFormat="0" applyAlignment="0" applyProtection="0"/>
    <xf numFmtId="184" fontId="84" fillId="42" borderId="23" applyNumberFormat="0" applyAlignment="0" applyProtection="0"/>
    <xf numFmtId="0"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5" fontId="105" fillId="0" borderId="0" applyNumberFormat="0" applyFont="0" applyFill="0" applyBorder="0" applyProtection="0">
      <alignment horizontal="centerContinuous"/>
    </xf>
    <xf numFmtId="183"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84" fontId="105" fillId="0" borderId="0" applyNumberFormat="0" applyFont="0" applyFill="0" applyBorder="0" applyProtection="0">
      <alignment horizontal="centerContinuous"/>
    </xf>
    <xf numFmtId="190" fontId="105" fillId="0" borderId="0" applyNumberFormat="0" applyFont="0" applyFill="0" applyBorder="0" applyProtection="0">
      <alignment horizontal="centerContinuous" wrapText="1"/>
    </xf>
    <xf numFmtId="191" fontId="21" fillId="0" borderId="0"/>
    <xf numFmtId="0" fontId="106" fillId="98"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2" fontId="106" fillId="90" borderId="33" applyNumberFormat="0" applyAlignment="0" applyProtection="0"/>
    <xf numFmtId="0"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106" fillId="90" borderId="33" applyNumberFormat="0" applyAlignment="0" applyProtection="0"/>
    <xf numFmtId="183" fontId="106" fillId="14" borderId="33" applyNumberFormat="0" applyAlignment="0" applyProtection="0"/>
    <xf numFmtId="184" fontId="106" fillId="14" borderId="33" applyNumberFormat="0" applyAlignment="0" applyProtection="0"/>
    <xf numFmtId="183" fontId="106" fillId="90" borderId="33" applyNumberFormat="0" applyAlignment="0" applyProtection="0"/>
    <xf numFmtId="184" fontId="106" fillId="90" borderId="33" applyNumberFormat="0" applyAlignment="0" applyProtection="0"/>
    <xf numFmtId="184" fontId="106" fillId="90"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7" fontId="106" fillId="14" borderId="33" applyNumberFormat="0" applyAlignment="0" applyProtection="0"/>
    <xf numFmtId="0" fontId="106" fillId="98" borderId="33" applyNumberFormat="0" applyAlignment="0" applyProtection="0"/>
    <xf numFmtId="184" fontId="106" fillId="98" borderId="33" applyNumberFormat="0" applyAlignment="0" applyProtection="0"/>
    <xf numFmtId="184" fontId="106" fillId="14" borderId="33" applyNumberFormat="0" applyAlignment="0" applyProtection="0"/>
    <xf numFmtId="0" fontId="106" fillId="98" borderId="33" applyNumberFormat="0" applyAlignment="0" applyProtection="0"/>
    <xf numFmtId="183" fontId="106" fillId="14" borderId="33" applyNumberFormat="0" applyAlignment="0" applyProtection="0"/>
    <xf numFmtId="184" fontId="106" fillId="14"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86" fillId="43" borderId="26" applyNumberFormat="0" applyAlignment="0" applyProtection="0"/>
    <xf numFmtId="184" fontId="86" fillId="43" borderId="26" applyNumberFormat="0" applyAlignment="0" applyProtection="0"/>
    <xf numFmtId="185" fontId="86" fillId="43" borderId="26" applyNumberFormat="0" applyAlignment="0" applyProtection="0"/>
    <xf numFmtId="183"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0"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5" fontId="106" fillId="98" borderId="33" applyNumberFormat="0" applyAlignment="0" applyProtection="0"/>
    <xf numFmtId="183"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4" fontId="106" fillId="98" borderId="33" applyNumberFormat="0" applyAlignment="0" applyProtection="0"/>
    <xf numFmtId="185" fontId="106" fillId="14" borderId="33" applyNumberFormat="0" applyAlignment="0" applyProtection="0"/>
    <xf numFmtId="183" fontId="106" fillId="14" borderId="33" applyNumberFormat="0" applyAlignment="0" applyProtection="0"/>
    <xf numFmtId="184" fontId="106" fillId="14" borderId="33" applyNumberFormat="0" applyAlignment="0" applyProtection="0"/>
    <xf numFmtId="184" fontId="106" fillId="14" borderId="33" applyNumberFormat="0" applyAlignment="0" applyProtection="0"/>
    <xf numFmtId="0" fontId="86" fillId="43" borderId="26" applyNumberFormat="0" applyAlignment="0" applyProtection="0"/>
    <xf numFmtId="184" fontId="86" fillId="43" borderId="26" applyNumberFormat="0" applyAlignment="0" applyProtection="0"/>
    <xf numFmtId="184" fontId="86" fillId="43" borderId="26" applyNumberFormat="0" applyAlignment="0" applyProtection="0"/>
    <xf numFmtId="182" fontId="86" fillId="43" borderId="26"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107" fillId="0" borderId="0" applyNumberFormat="0" applyAlignment="0">
      <alignment horizontal="left"/>
    </xf>
    <xf numFmtId="0"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5"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83" fontId="107" fillId="0" borderId="0" applyNumberFormat="0" applyAlignment="0">
      <alignment horizontal="left"/>
    </xf>
    <xf numFmtId="184" fontId="107" fillId="0" borderId="0" applyNumberFormat="0" applyAlignment="0">
      <alignment horizontal="left"/>
    </xf>
    <xf numFmtId="187" fontId="107" fillId="0" borderId="0" applyNumberFormat="0" applyAlignment="0">
      <alignment horizontal="left"/>
    </xf>
    <xf numFmtId="184" fontId="107" fillId="0" borderId="0" applyNumberFormat="0" applyAlignment="0">
      <alignment horizontal="left"/>
    </xf>
    <xf numFmtId="184" fontId="107" fillId="0" borderId="0" applyNumberFormat="0" applyAlignment="0">
      <alignment horizontal="left"/>
    </xf>
    <xf numFmtId="192" fontId="100" fillId="0" borderId="3"/>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8" fillId="0" borderId="0" applyFont="0" applyFill="0" applyBorder="0" applyAlignment="0" applyProtection="0"/>
    <xf numFmtId="6" fontId="109" fillId="0" borderId="0">
      <protection locked="0"/>
    </xf>
    <xf numFmtId="14" fontId="21" fillId="0" borderId="0" applyFont="0" applyFill="0" applyBorder="0" applyAlignment="0" applyProtection="0"/>
    <xf numFmtId="14" fontId="21" fillId="0" borderId="0" applyFont="0" applyFill="0" applyBorder="0" applyAlignment="0" applyProtection="0"/>
    <xf numFmtId="6" fontId="110" fillId="0" borderId="0">
      <protection locked="0"/>
    </xf>
    <xf numFmtId="4" fontId="111" fillId="0" borderId="0" applyFont="0" applyFill="0" applyBorder="0" applyAlignment="0" applyProtection="0"/>
    <xf numFmtId="182" fontId="40" fillId="99" borderId="0" applyNumberFormat="0" applyBorder="0" applyAlignment="0" applyProtection="0"/>
    <xf numFmtId="0"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99" borderId="0" applyNumberFormat="0" applyBorder="0" applyAlignment="0" applyProtection="0"/>
    <xf numFmtId="183" fontId="40" fillId="99" borderId="0" applyNumberFormat="0" applyBorder="0" applyAlignment="0" applyProtection="0"/>
    <xf numFmtId="184" fontId="40" fillId="99" borderId="0" applyNumberFormat="0" applyBorder="0" applyAlignment="0" applyProtection="0"/>
    <xf numFmtId="184" fontId="40" fillId="99" borderId="0" applyNumberFormat="0" applyBorder="0" applyAlignment="0" applyProtection="0"/>
    <xf numFmtId="184" fontId="40" fillId="22" borderId="0" applyNumberFormat="0" applyBorder="0" applyAlignment="0" applyProtection="0"/>
    <xf numFmtId="185"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3"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7"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0" fontId="40" fillId="22" borderId="0" applyNumberFormat="0" applyBorder="0" applyAlignment="0" applyProtection="0"/>
    <xf numFmtId="184" fontId="40" fillId="22" borderId="0" applyNumberFormat="0" applyBorder="0" applyAlignment="0" applyProtection="0"/>
    <xf numFmtId="184" fontId="40" fillId="22" borderId="0" applyNumberFormat="0" applyBorder="0" applyAlignment="0" applyProtection="0"/>
    <xf numFmtId="182" fontId="40" fillId="100" borderId="0" applyNumberFormat="0" applyBorder="0" applyAlignment="0" applyProtection="0"/>
    <xf numFmtId="0"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100" borderId="0" applyNumberFormat="0" applyBorder="0" applyAlignment="0" applyProtection="0"/>
    <xf numFmtId="183" fontId="40" fillId="100" borderId="0" applyNumberFormat="0" applyBorder="0" applyAlignment="0" applyProtection="0"/>
    <xf numFmtId="184" fontId="40" fillId="100" borderId="0" applyNumberFormat="0" applyBorder="0" applyAlignment="0" applyProtection="0"/>
    <xf numFmtId="184" fontId="40" fillId="100" borderId="0" applyNumberFormat="0" applyBorder="0" applyAlignment="0" applyProtection="0"/>
    <xf numFmtId="184" fontId="40" fillId="23" borderId="0" applyNumberFormat="0" applyBorder="0" applyAlignment="0" applyProtection="0"/>
    <xf numFmtId="185"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183"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7"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0" fontId="40" fillId="23" borderId="0" applyNumberFormat="0" applyBorder="0" applyAlignment="0" applyProtection="0"/>
    <xf numFmtId="184" fontId="40" fillId="23" borderId="0" applyNumberFormat="0" applyBorder="0" applyAlignment="0" applyProtection="0"/>
    <xf numFmtId="184" fontId="40" fillId="23" borderId="0" applyNumberFormat="0" applyBorder="0" applyAlignment="0" applyProtection="0"/>
    <xf numFmtId="0"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5"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3" fontId="40" fillId="24" borderId="0" applyNumberFormat="0" applyBorder="0" applyAlignment="0" applyProtection="0"/>
    <xf numFmtId="184" fontId="40" fillId="24" borderId="0" applyNumberFormat="0" applyBorder="0" applyAlignment="0" applyProtection="0"/>
    <xf numFmtId="187" fontId="40" fillId="24" borderId="0" applyNumberFormat="0" applyBorder="0" applyAlignment="0" applyProtection="0"/>
    <xf numFmtId="184" fontId="40" fillId="24" borderId="0" applyNumberFormat="0" applyBorder="0" applyAlignment="0" applyProtection="0"/>
    <xf numFmtId="184" fontId="40" fillId="24" borderId="0" applyNumberFormat="0" applyBorder="0" applyAlignment="0" applyProtection="0"/>
    <xf numFmtId="182" fontId="40" fillId="24" borderId="0" applyNumberFormat="0" applyBorder="0" applyAlignment="0" applyProtection="0"/>
    <xf numFmtId="0" fontId="112" fillId="0" borderId="0" applyNumberFormat="0" applyAlignment="0">
      <alignment horizontal="left"/>
    </xf>
    <xf numFmtId="0"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3" fontId="112" fillId="0" borderId="0" applyNumberFormat="0" applyAlignment="0">
      <alignment horizontal="left"/>
    </xf>
    <xf numFmtId="184" fontId="112" fillId="0" borderId="0" applyNumberFormat="0" applyAlignment="0">
      <alignment horizontal="left"/>
    </xf>
    <xf numFmtId="187" fontId="112" fillId="0" borderId="0" applyNumberFormat="0" applyAlignment="0">
      <alignment horizontal="left"/>
    </xf>
    <xf numFmtId="184" fontId="112" fillId="0" borderId="0" applyNumberFormat="0" applyAlignment="0">
      <alignment horizontal="left"/>
    </xf>
    <xf numFmtId="184" fontId="112"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0"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0"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7" fontId="114" fillId="0" borderId="0" applyNumberFormat="0" applyFill="0" applyBorder="0" applyAlignment="0" applyProtection="0"/>
    <xf numFmtId="0" fontId="113" fillId="0" borderId="0" applyNumberFormat="0" applyFill="0" applyBorder="0" applyAlignment="0" applyProtection="0"/>
    <xf numFmtId="184" fontId="113" fillId="0" borderId="0" applyNumberFormat="0" applyFill="0" applyBorder="0" applyAlignment="0" applyProtection="0"/>
    <xf numFmtId="184" fontId="114" fillId="0" borderId="0" applyNumberFormat="0" applyFill="0" applyBorder="0" applyAlignment="0" applyProtection="0"/>
    <xf numFmtId="0" fontId="113"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5" fontId="88" fillId="0" borderId="0" applyNumberFormat="0" applyFill="0" applyBorder="0" applyAlignment="0" applyProtection="0"/>
    <xf numFmtId="183"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184" fontId="88"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5" fontId="114" fillId="0" borderId="0" applyNumberFormat="0" applyFill="0" applyBorder="0" applyAlignment="0" applyProtection="0"/>
    <xf numFmtId="183" fontId="114" fillId="0" borderId="0" applyNumberFormat="0" applyFill="0" applyBorder="0" applyAlignment="0" applyProtection="0"/>
    <xf numFmtId="184" fontId="114" fillId="0" borderId="0" applyNumberFormat="0" applyFill="0" applyBorder="0" applyAlignment="0" applyProtection="0"/>
    <xf numFmtId="184" fontId="114" fillId="0" borderId="0" applyNumberFormat="0" applyFill="0" applyBorder="0" applyAlignment="0" applyProtection="0"/>
    <xf numFmtId="184" fontId="88" fillId="0" borderId="0" applyNumberFormat="0" applyFill="0" applyBorder="0" applyAlignment="0" applyProtection="0"/>
    <xf numFmtId="182" fontId="88"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1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4" fillId="0" borderId="0"/>
    <xf numFmtId="0" fontId="115" fillId="7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2" fontId="38" fillId="86" borderId="0" applyNumberFormat="0" applyBorder="0" applyAlignment="0" applyProtection="0"/>
    <xf numFmtId="0"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7" fontId="115" fillId="101" borderId="0" applyNumberFormat="0" applyBorder="0" applyAlignment="0" applyProtection="0"/>
    <xf numFmtId="184" fontId="115" fillId="101" borderId="0" applyNumberFormat="0" applyBorder="0" applyAlignment="0" applyProtection="0"/>
    <xf numFmtId="184" fontId="79" fillId="38"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38" fillId="86"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38" fillId="86" borderId="0" applyNumberFormat="0" applyBorder="0" applyAlignment="0" applyProtection="0"/>
    <xf numFmtId="183"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0" fontId="38" fillId="86" borderId="0" applyNumberFormat="0" applyBorder="0" applyAlignment="0" applyProtection="0"/>
    <xf numFmtId="184" fontId="38" fillId="86" borderId="0" applyNumberFormat="0" applyBorder="0" applyAlignment="0" applyProtection="0"/>
    <xf numFmtId="184" fontId="38" fillId="86"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7" fontId="115" fillId="101" borderId="0" applyNumberFormat="0" applyBorder="0" applyAlignment="0" applyProtection="0"/>
    <xf numFmtId="0" fontId="115" fillId="71" borderId="0" applyNumberFormat="0" applyBorder="0" applyAlignment="0" applyProtection="0"/>
    <xf numFmtId="184" fontId="115" fillId="71" borderId="0" applyNumberFormat="0" applyBorder="0" applyAlignment="0" applyProtection="0"/>
    <xf numFmtId="184" fontId="115" fillId="101" borderId="0" applyNumberFormat="0" applyBorder="0" applyAlignment="0" applyProtection="0"/>
    <xf numFmtId="0" fontId="115" fillId="7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5" fontId="79" fillId="38" borderId="0" applyNumberFormat="0" applyBorder="0" applyAlignment="0" applyProtection="0"/>
    <xf numFmtId="183"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0"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5" fontId="115" fillId="71" borderId="0" applyNumberFormat="0" applyBorder="0" applyAlignment="0" applyProtection="0"/>
    <xf numFmtId="183"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4" fontId="115" fillId="71" borderId="0" applyNumberFormat="0" applyBorder="0" applyAlignment="0" applyProtection="0"/>
    <xf numFmtId="185" fontId="115" fillId="101" borderId="0" applyNumberFormat="0" applyBorder="0" applyAlignment="0" applyProtection="0"/>
    <xf numFmtId="183" fontId="115" fillId="101" borderId="0" applyNumberFormat="0" applyBorder="0" applyAlignment="0" applyProtection="0"/>
    <xf numFmtId="184" fontId="115" fillId="101" borderId="0" applyNumberFormat="0" applyBorder="0" applyAlignment="0" applyProtection="0"/>
    <xf numFmtId="184" fontId="115" fillId="101" borderId="0" applyNumberFormat="0" applyBorder="0" applyAlignment="0" applyProtection="0"/>
    <xf numFmtId="0" fontId="79" fillId="38" borderId="0" applyNumberFormat="0" applyBorder="0" applyAlignment="0" applyProtection="0"/>
    <xf numFmtId="184" fontId="79" fillId="38" borderId="0" applyNumberFormat="0" applyBorder="0" applyAlignment="0" applyProtection="0"/>
    <xf numFmtId="184" fontId="79" fillId="38" borderId="0" applyNumberFormat="0" applyBorder="0" applyAlignment="0" applyProtection="0"/>
    <xf numFmtId="182" fontId="79"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6" fillId="0" borderId="0" applyNumberFormat="0" applyFill="0" applyBorder="0" applyAlignment="0" applyProtection="0"/>
    <xf numFmtId="185" fontId="116" fillId="0" borderId="0" applyNumberFormat="0" applyFill="0" applyBorder="0" applyAlignment="0" applyProtection="0"/>
    <xf numFmtId="0"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5"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183" fontId="116" fillId="0" borderId="0" applyNumberFormat="0" applyFill="0" applyBorder="0" applyAlignment="0" applyProtection="0"/>
    <xf numFmtId="184" fontId="116" fillId="0" borderId="0" applyNumberFormat="0" applyFill="0" applyBorder="0" applyAlignment="0" applyProtection="0"/>
    <xf numFmtId="187" fontId="116" fillId="0" borderId="0" applyNumberFormat="0" applyFill="0" applyBorder="0" applyAlignment="0" applyProtection="0"/>
    <xf numFmtId="184" fontId="116" fillId="0" borderId="0" applyNumberFormat="0" applyFill="0" applyBorder="0" applyAlignment="0" applyProtection="0"/>
    <xf numFmtId="184" fontId="116" fillId="0" borderId="0" applyNumberFormat="0" applyFill="0" applyBorder="0" applyAlignment="0" applyProtection="0"/>
    <xf numFmtId="0" fontId="70" fillId="0" borderId="18" applyNumberFormat="0" applyAlignment="0" applyProtection="0">
      <alignment horizontal="left" vertical="center"/>
    </xf>
    <xf numFmtId="0"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5"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183" fontId="70" fillId="0" borderId="18" applyNumberFormat="0" applyAlignment="0" applyProtection="0">
      <alignment horizontal="left" vertical="center"/>
    </xf>
    <xf numFmtId="184" fontId="70" fillId="0" borderId="18" applyNumberFormat="0" applyAlignment="0" applyProtection="0">
      <alignment horizontal="left" vertical="center"/>
    </xf>
    <xf numFmtId="187" fontId="70" fillId="0" borderId="18" applyNumberFormat="0" applyAlignment="0" applyProtection="0">
      <alignment horizontal="left" vertical="center"/>
    </xf>
    <xf numFmtId="184" fontId="70" fillId="0" borderId="18" applyNumberFormat="0" applyAlignment="0" applyProtection="0">
      <alignment horizontal="left" vertical="center"/>
    </xf>
    <xf numFmtId="184" fontId="70" fillId="0" borderId="18" applyNumberFormat="0" applyAlignment="0" applyProtection="0">
      <alignment horizontal="left" vertical="center"/>
    </xf>
    <xf numFmtId="0" fontId="70" fillId="0" borderId="9">
      <alignment horizontal="left" vertical="center"/>
    </xf>
    <xf numFmtId="0"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5" fontId="70" fillId="0" borderId="9">
      <alignment horizontal="left" vertical="center"/>
    </xf>
    <xf numFmtId="185"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3" fontId="70" fillId="0" borderId="9">
      <alignment horizontal="left" vertical="center"/>
    </xf>
    <xf numFmtId="183"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7"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0" fontId="70" fillId="0" borderId="9">
      <alignment horizontal="left" vertical="center"/>
    </xf>
    <xf numFmtId="0" fontId="70" fillId="0" borderId="9">
      <alignment horizontal="left" vertical="center"/>
    </xf>
    <xf numFmtId="184" fontId="70" fillId="0" borderId="9">
      <alignment horizontal="left" vertical="center"/>
    </xf>
    <xf numFmtId="184" fontId="70" fillId="0" borderId="9">
      <alignment horizontal="left" vertical="center"/>
    </xf>
    <xf numFmtId="184" fontId="70" fillId="0" borderId="9">
      <alignment horizontal="left" vertical="center"/>
    </xf>
    <xf numFmtId="0" fontId="117" fillId="0" borderId="34"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2" fontId="118" fillId="0" borderId="35" applyNumberFormat="0" applyFill="0" applyAlignment="0" applyProtection="0"/>
    <xf numFmtId="0"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7" fontId="118" fillId="0" borderId="35" applyNumberFormat="0" applyFill="0" applyAlignment="0" applyProtection="0"/>
    <xf numFmtId="0" fontId="117" fillId="0" borderId="34" applyNumberFormat="0" applyFill="0" applyAlignment="0" applyProtection="0"/>
    <xf numFmtId="184" fontId="117" fillId="0" borderId="34" applyNumberFormat="0" applyFill="0" applyAlignment="0" applyProtection="0"/>
    <xf numFmtId="184" fontId="118" fillId="0" borderId="35" applyNumberFormat="0" applyFill="0" applyAlignment="0" applyProtection="0"/>
    <xf numFmtId="0" fontId="117" fillId="0" borderId="34"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5" fontId="76" fillId="0" borderId="20" applyNumberFormat="0" applyFill="0" applyAlignment="0" applyProtection="0"/>
    <xf numFmtId="183"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0"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5" fontId="117" fillId="0" borderId="34" applyNumberFormat="0" applyFill="0" applyAlignment="0" applyProtection="0"/>
    <xf numFmtId="183"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4" fontId="117" fillId="0" borderId="34" applyNumberFormat="0" applyFill="0" applyAlignment="0" applyProtection="0"/>
    <xf numFmtId="185" fontId="118" fillId="0" borderId="35" applyNumberFormat="0" applyFill="0" applyAlignment="0" applyProtection="0"/>
    <xf numFmtId="183" fontId="118" fillId="0" borderId="35" applyNumberFormat="0" applyFill="0" applyAlignment="0" applyProtection="0"/>
    <xf numFmtId="184" fontId="118" fillId="0" borderId="35" applyNumberFormat="0" applyFill="0" applyAlignment="0" applyProtection="0"/>
    <xf numFmtId="184" fontId="118" fillId="0" borderId="35" applyNumberFormat="0" applyFill="0" applyAlignment="0" applyProtection="0"/>
    <xf numFmtId="0" fontId="76" fillId="0" borderId="20" applyNumberFormat="0" applyFill="0" applyAlignment="0" applyProtection="0"/>
    <xf numFmtId="184" fontId="76" fillId="0" borderId="20" applyNumberFormat="0" applyFill="0" applyAlignment="0" applyProtection="0"/>
    <xf numFmtId="184" fontId="76" fillId="0" borderId="20" applyNumberFormat="0" applyFill="0" applyAlignment="0" applyProtection="0"/>
    <xf numFmtId="182" fontId="76" fillId="0" borderId="20" applyNumberFormat="0" applyFill="0" applyAlignment="0" applyProtection="0"/>
    <xf numFmtId="0" fontId="119"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2" fontId="120" fillId="0" borderId="37" applyNumberFormat="0" applyFill="0" applyAlignment="0" applyProtection="0"/>
    <xf numFmtId="0"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120" fillId="0" borderId="37"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120" fillId="0" borderId="37" applyNumberFormat="0" applyFill="0" applyAlignment="0" applyProtection="0"/>
    <xf numFmtId="184" fontId="120" fillId="0" borderId="37" applyNumberFormat="0" applyFill="0" applyAlignment="0" applyProtection="0"/>
    <xf numFmtId="184" fontId="120" fillId="0" borderId="37"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7" fontId="120" fillId="0" borderId="36" applyNumberFormat="0" applyFill="0" applyAlignment="0" applyProtection="0"/>
    <xf numFmtId="0" fontId="119" fillId="0" borderId="36" applyNumberFormat="0" applyFill="0" applyAlignment="0" applyProtection="0"/>
    <xf numFmtId="184" fontId="119" fillId="0" borderId="36" applyNumberFormat="0" applyFill="0" applyAlignment="0" applyProtection="0"/>
    <xf numFmtId="184" fontId="120" fillId="0" borderId="36" applyNumberFormat="0" applyFill="0" applyAlignment="0" applyProtection="0"/>
    <xf numFmtId="0" fontId="119"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5" fontId="77" fillId="0" borderId="21" applyNumberFormat="0" applyFill="0" applyAlignment="0" applyProtection="0"/>
    <xf numFmtId="183"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0"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5" fontId="119" fillId="0" borderId="36" applyNumberFormat="0" applyFill="0" applyAlignment="0" applyProtection="0"/>
    <xf numFmtId="183"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4" fontId="119" fillId="0" borderId="36" applyNumberFormat="0" applyFill="0" applyAlignment="0" applyProtection="0"/>
    <xf numFmtId="185" fontId="120" fillId="0" borderId="36" applyNumberFormat="0" applyFill="0" applyAlignment="0" applyProtection="0"/>
    <xf numFmtId="183" fontId="120" fillId="0" borderId="36" applyNumberFormat="0" applyFill="0" applyAlignment="0" applyProtection="0"/>
    <xf numFmtId="184" fontId="120" fillId="0" borderId="36" applyNumberFormat="0" applyFill="0" applyAlignment="0" applyProtection="0"/>
    <xf numFmtId="184" fontId="120" fillId="0" borderId="36" applyNumberFormat="0" applyFill="0" applyAlignment="0" applyProtection="0"/>
    <xf numFmtId="0" fontId="77" fillId="0" borderId="21" applyNumberFormat="0" applyFill="0" applyAlignment="0" applyProtection="0"/>
    <xf numFmtId="184" fontId="77" fillId="0" borderId="21" applyNumberFormat="0" applyFill="0" applyAlignment="0" applyProtection="0"/>
    <xf numFmtId="184" fontId="77" fillId="0" borderId="21" applyNumberFormat="0" applyFill="0" applyAlignment="0" applyProtection="0"/>
    <xf numFmtId="182" fontId="77" fillId="0" borderId="21" applyNumberFormat="0" applyFill="0" applyAlignment="0" applyProtection="0"/>
    <xf numFmtId="0" fontId="121" fillId="0" borderId="38"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2" fontId="122" fillId="0" borderId="39" applyNumberFormat="0" applyFill="0" applyAlignment="0" applyProtection="0"/>
    <xf numFmtId="0"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122" fillId="0" borderId="39"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122" fillId="0" borderId="39" applyNumberFormat="0" applyFill="0" applyAlignment="0" applyProtection="0"/>
    <xf numFmtId="184" fontId="122" fillId="0" borderId="39" applyNumberFormat="0" applyFill="0" applyAlignment="0" applyProtection="0"/>
    <xf numFmtId="184" fontId="122" fillId="0" borderId="39"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7" fontId="122" fillId="0" borderId="40" applyNumberFormat="0" applyFill="0" applyAlignment="0" applyProtection="0"/>
    <xf numFmtId="0" fontId="121" fillId="0" borderId="38" applyNumberFormat="0" applyFill="0" applyAlignment="0" applyProtection="0"/>
    <xf numFmtId="184" fontId="121" fillId="0" borderId="38" applyNumberFormat="0" applyFill="0" applyAlignment="0" applyProtection="0"/>
    <xf numFmtId="184" fontId="122" fillId="0" borderId="40" applyNumberFormat="0" applyFill="0" applyAlignment="0" applyProtection="0"/>
    <xf numFmtId="0" fontId="121" fillId="0" borderId="38"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5" fontId="78" fillId="0" borderId="22" applyNumberFormat="0" applyFill="0" applyAlignment="0" applyProtection="0"/>
    <xf numFmtId="183"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0"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5" fontId="121" fillId="0" borderId="38" applyNumberFormat="0" applyFill="0" applyAlignment="0" applyProtection="0"/>
    <xf numFmtId="183"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4" fontId="121" fillId="0" borderId="38" applyNumberFormat="0" applyFill="0" applyAlignment="0" applyProtection="0"/>
    <xf numFmtId="185" fontId="122" fillId="0" borderId="40" applyNumberFormat="0" applyFill="0" applyAlignment="0" applyProtection="0"/>
    <xf numFmtId="183" fontId="122" fillId="0" borderId="40" applyNumberFormat="0" applyFill="0" applyAlignment="0" applyProtection="0"/>
    <xf numFmtId="184" fontId="122" fillId="0" borderId="40" applyNumberFormat="0" applyFill="0" applyAlignment="0" applyProtection="0"/>
    <xf numFmtId="184" fontId="122" fillId="0" borderId="40" applyNumberFormat="0" applyFill="0" applyAlignment="0" applyProtection="0"/>
    <xf numFmtId="0" fontId="78" fillId="0" borderId="22" applyNumberFormat="0" applyFill="0" applyAlignment="0" applyProtection="0"/>
    <xf numFmtId="184" fontId="78" fillId="0" borderId="22" applyNumberFormat="0" applyFill="0" applyAlignment="0" applyProtection="0"/>
    <xf numFmtId="184" fontId="78" fillId="0" borderId="22" applyNumberFormat="0" applyFill="0" applyAlignment="0" applyProtection="0"/>
    <xf numFmtId="182" fontId="78" fillId="0" borderId="22" applyNumberFormat="0" applyFill="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2" fontId="122" fillId="0" borderId="0" applyNumberFormat="0" applyFill="0" applyBorder="0" applyAlignment="0" applyProtection="0"/>
    <xf numFmtId="0"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7" fontId="122" fillId="0" borderId="0" applyNumberFormat="0" applyFill="0" applyBorder="0" applyAlignment="0" applyProtection="0"/>
    <xf numFmtId="0" fontId="121" fillId="0" borderId="0" applyNumberFormat="0" applyFill="0" applyBorder="0" applyAlignment="0" applyProtection="0"/>
    <xf numFmtId="184" fontId="121" fillId="0" borderId="0" applyNumberFormat="0" applyFill="0" applyBorder="0" applyAlignment="0" applyProtection="0"/>
    <xf numFmtId="184" fontId="122" fillId="0" borderId="0" applyNumberFormat="0" applyFill="0" applyBorder="0" applyAlignment="0" applyProtection="0"/>
    <xf numFmtId="0" fontId="121"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5" fontId="78" fillId="0" borderId="0" applyNumberFormat="0" applyFill="0" applyBorder="0" applyAlignment="0" applyProtection="0"/>
    <xf numFmtId="183"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0"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5" fontId="121" fillId="0" borderId="0" applyNumberFormat="0" applyFill="0" applyBorder="0" applyAlignment="0" applyProtection="0"/>
    <xf numFmtId="183"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4" fontId="121" fillId="0" borderId="0" applyNumberFormat="0" applyFill="0" applyBorder="0" applyAlignment="0" applyProtection="0"/>
    <xf numFmtId="185" fontId="122" fillId="0" borderId="0" applyNumberFormat="0" applyFill="0" applyBorder="0" applyAlignment="0" applyProtection="0"/>
    <xf numFmtId="183" fontId="122" fillId="0" borderId="0" applyNumberFormat="0" applyFill="0" applyBorder="0" applyAlignment="0" applyProtection="0"/>
    <xf numFmtId="184" fontId="122" fillId="0" borderId="0" applyNumberFormat="0" applyFill="0" applyBorder="0" applyAlignment="0" applyProtection="0"/>
    <xf numFmtId="184" fontId="122" fillId="0" borderId="0" applyNumberFormat="0" applyFill="0" applyBorder="0" applyAlignment="0" applyProtection="0"/>
    <xf numFmtId="0" fontId="78" fillId="0" borderId="0" applyNumberFormat="0" applyFill="0" applyBorder="0" applyAlignment="0" applyProtection="0"/>
    <xf numFmtId="184" fontId="78" fillId="0" borderId="0" applyNumberFormat="0" applyFill="0" applyBorder="0" applyAlignment="0" applyProtection="0"/>
    <xf numFmtId="184" fontId="78" fillId="0" borderId="0" applyNumberFormat="0" applyFill="0" applyBorder="0" applyAlignment="0" applyProtection="0"/>
    <xf numFmtId="182" fontId="78"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3" fillId="0" borderId="41">
      <alignment horizontal="center"/>
    </xf>
    <xf numFmtId="0" fontId="123" fillId="0" borderId="41">
      <alignment horizontal="center"/>
    </xf>
    <xf numFmtId="183"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5" fontId="123" fillId="0" borderId="41">
      <alignment horizontal="center"/>
    </xf>
    <xf numFmtId="183" fontId="123" fillId="0" borderId="41">
      <alignment horizontal="center"/>
    </xf>
    <xf numFmtId="184" fontId="123" fillId="0" borderId="41">
      <alignment horizontal="center"/>
    </xf>
    <xf numFmtId="184" fontId="123" fillId="0" borderId="41">
      <alignment horizontal="center"/>
    </xf>
    <xf numFmtId="183" fontId="123" fillId="0" borderId="41">
      <alignment horizontal="center"/>
    </xf>
    <xf numFmtId="184" fontId="123" fillId="0" borderId="41">
      <alignment horizontal="center"/>
    </xf>
    <xf numFmtId="187" fontId="123" fillId="0" borderId="41">
      <alignment horizontal="center"/>
    </xf>
    <xf numFmtId="184" fontId="123" fillId="0" borderId="41">
      <alignment horizontal="center"/>
    </xf>
    <xf numFmtId="184" fontId="123" fillId="0" borderId="41">
      <alignment horizontal="center"/>
    </xf>
    <xf numFmtId="0" fontId="123" fillId="0" borderId="0">
      <alignment horizontal="center"/>
    </xf>
    <xf numFmtId="0" fontId="123" fillId="0" borderId="0">
      <alignment horizontal="center"/>
    </xf>
    <xf numFmtId="183"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5" fontId="123" fillId="0" borderId="0">
      <alignment horizontal="center"/>
    </xf>
    <xf numFmtId="183" fontId="123" fillId="0" borderId="0">
      <alignment horizontal="center"/>
    </xf>
    <xf numFmtId="184" fontId="123" fillId="0" borderId="0">
      <alignment horizontal="center"/>
    </xf>
    <xf numFmtId="184" fontId="123" fillId="0" borderId="0">
      <alignment horizontal="center"/>
    </xf>
    <xf numFmtId="183" fontId="123" fillId="0" borderId="0">
      <alignment horizontal="center"/>
    </xf>
    <xf numFmtId="184" fontId="123" fillId="0" borderId="0">
      <alignment horizontal="center"/>
    </xf>
    <xf numFmtId="187" fontId="123" fillId="0" borderId="0">
      <alignment horizontal="center"/>
    </xf>
    <xf numFmtId="184" fontId="123" fillId="0" borderId="0">
      <alignment horizontal="center"/>
    </xf>
    <xf numFmtId="184" fontId="123" fillId="0" borderId="0">
      <alignment horizontal="center"/>
    </xf>
    <xf numFmtId="0" fontId="111" fillId="0" borderId="0" applyProtection="0">
      <alignment horizontal="right"/>
    </xf>
    <xf numFmtId="0" fontId="111" fillId="0" borderId="0" applyProtection="0">
      <alignment horizontal="right"/>
    </xf>
    <xf numFmtId="183"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4" fontId="111" fillId="0" borderId="0" applyProtection="0">
      <alignment horizontal="right"/>
    </xf>
    <xf numFmtId="185" fontId="111" fillId="0" borderId="0" applyProtection="0">
      <alignment horizontal="right"/>
    </xf>
    <xf numFmtId="183" fontId="111" fillId="0" borderId="0" applyProtection="0">
      <alignment horizontal="right"/>
    </xf>
    <xf numFmtId="184" fontId="111" fillId="0" borderId="0" applyProtection="0">
      <alignment horizontal="right"/>
    </xf>
    <xf numFmtId="184" fontId="111" fillId="0" borderId="0" applyProtection="0">
      <alignment horizontal="right"/>
    </xf>
    <xf numFmtId="183" fontId="111" fillId="0" borderId="0" applyProtection="0">
      <alignment horizontal="right"/>
    </xf>
    <xf numFmtId="184" fontId="111" fillId="0" borderId="0" applyProtection="0">
      <alignment horizontal="right"/>
    </xf>
    <xf numFmtId="187" fontId="111" fillId="0" borderId="0" applyProtection="0">
      <alignment horizontal="right"/>
    </xf>
    <xf numFmtId="184" fontId="111" fillId="0" borderId="0" applyProtection="0">
      <alignment horizontal="right"/>
    </xf>
    <xf numFmtId="184" fontId="111"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4" fillId="0" borderId="42" applyNumberFormat="0" applyFill="0" applyAlignment="0" applyProtection="0"/>
    <xf numFmtId="185" fontId="124" fillId="0" borderId="42" applyNumberFormat="0" applyFill="0" applyAlignment="0" applyProtection="0"/>
    <xf numFmtId="0"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5"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4" fillId="0" borderId="42" applyNumberFormat="0" applyFill="0" applyAlignment="0" applyProtection="0"/>
    <xf numFmtId="184" fontId="124" fillId="0" borderId="42" applyNumberFormat="0" applyFill="0" applyAlignment="0" applyProtection="0"/>
    <xf numFmtId="187" fontId="124" fillId="0" borderId="42" applyNumberFormat="0" applyFill="0" applyAlignment="0" applyProtection="0"/>
    <xf numFmtId="184" fontId="124" fillId="0" borderId="42" applyNumberFormat="0" applyFill="0" applyAlignment="0" applyProtection="0"/>
    <xf numFmtId="184" fontId="124" fillId="0" borderId="42" applyNumberFormat="0" applyFill="0" applyAlignment="0" applyProtection="0"/>
    <xf numFmtId="183" fontId="125" fillId="0" borderId="0" applyFill="0" applyBorder="0" applyAlignment="0" applyProtection="0">
      <alignment horizontal="right"/>
    </xf>
    <xf numFmtId="184" fontId="125"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182" fontId="82" fillId="41" borderId="23"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4" fontId="126" fillId="21" borderId="32" applyNumberFormat="0" applyAlignment="0" applyProtection="0"/>
    <xf numFmtId="184" fontId="127" fillId="74" borderId="31" applyNumberFormat="0" applyAlignment="0" applyProtection="0"/>
    <xf numFmtId="182" fontId="126" fillId="21" borderId="32"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2"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7" fontId="82" fillId="41" borderId="23" applyNumberFormat="0" applyAlignment="0" applyProtection="0"/>
    <xf numFmtId="0"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82" fillId="41" borderId="23"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0"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5" fontId="82" fillId="41" borderId="23" applyNumberFormat="0" applyAlignment="0" applyProtection="0"/>
    <xf numFmtId="183"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184" fontId="82" fillId="41" borderId="23"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7" fontId="126" fillId="21" borderId="31" applyNumberFormat="0" applyAlignment="0" applyProtection="0"/>
    <xf numFmtId="187"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0"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3"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0" fontId="126" fillId="21" borderId="32" applyNumberFormat="0" applyAlignment="0" applyProtection="0"/>
    <xf numFmtId="184" fontId="126" fillId="21" borderId="32" applyNumberFormat="0" applyAlignment="0" applyProtection="0"/>
    <xf numFmtId="184" fontId="126" fillId="21" borderId="32"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3" fontId="126" fillId="21" borderId="31" applyNumberFormat="0" applyAlignment="0" applyProtection="0"/>
    <xf numFmtId="183"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185" fontId="126" fillId="21" borderId="31" applyNumberFormat="0" applyAlignment="0" applyProtection="0"/>
    <xf numFmtId="184" fontId="126" fillId="21" borderId="31" applyNumberFormat="0" applyAlignment="0" applyProtection="0"/>
    <xf numFmtId="184" fontId="126" fillId="21"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3" fontId="127" fillId="74" borderId="31" applyNumberFormat="0" applyAlignment="0" applyProtection="0"/>
    <xf numFmtId="183"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0" fontId="127" fillId="74" borderId="31" applyNumberFormat="0" applyAlignment="0" applyProtection="0"/>
    <xf numFmtId="184" fontId="127" fillId="74" borderId="31" applyNumberFormat="0" applyAlignment="0" applyProtection="0"/>
    <xf numFmtId="184" fontId="127" fillId="74" borderId="31" applyNumberFormat="0" applyAlignment="0" applyProtection="0"/>
    <xf numFmtId="199" fontId="128" fillId="0" borderId="0" applyFont="0" applyFill="0" applyBorder="0" applyProtection="0">
      <alignment horizontal="center"/>
    </xf>
    <xf numFmtId="183" fontId="34" fillId="34" borderId="0" applyNumberFormat="0" applyFont="0" applyBorder="0" applyAlignment="0" applyProtection="0">
      <alignment horizontal="left"/>
    </xf>
    <xf numFmtId="184" fontId="34" fillId="34" borderId="0" applyNumberFormat="0" applyFont="0" applyBorder="0" applyAlignment="0" applyProtection="0">
      <alignment horizontal="left"/>
    </xf>
    <xf numFmtId="0" fontId="129" fillId="0" borderId="43"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2" fontId="115" fillId="0" borderId="44" applyNumberFormat="0" applyFill="0" applyAlignment="0" applyProtection="0"/>
    <xf numFmtId="0"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115" fillId="0" borderId="44"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115" fillId="0" borderId="44" applyNumberFormat="0" applyFill="0" applyAlignment="0" applyProtection="0"/>
    <xf numFmtId="184" fontId="115" fillId="0" borderId="44" applyNumberFormat="0" applyFill="0" applyAlignment="0" applyProtection="0"/>
    <xf numFmtId="184" fontId="115" fillId="0" borderId="44"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7" fontId="130" fillId="0" borderId="45" applyNumberFormat="0" applyFill="0" applyAlignment="0" applyProtection="0"/>
    <xf numFmtId="0" fontId="129" fillId="0" borderId="43" applyNumberFormat="0" applyFill="0" applyAlignment="0" applyProtection="0"/>
    <xf numFmtId="184" fontId="129" fillId="0" borderId="43" applyNumberFormat="0" applyFill="0" applyAlignment="0" applyProtection="0"/>
    <xf numFmtId="184" fontId="130" fillId="0" borderId="45" applyNumberFormat="0" applyFill="0" applyAlignment="0" applyProtection="0"/>
    <xf numFmtId="0" fontId="129" fillId="0" borderId="43"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5" fontId="85" fillId="0" borderId="25" applyNumberFormat="0" applyFill="0" applyAlignment="0" applyProtection="0"/>
    <xf numFmtId="183"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0"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5" fontId="129" fillId="0" borderId="43" applyNumberFormat="0" applyFill="0" applyAlignment="0" applyProtection="0"/>
    <xf numFmtId="183"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4" fontId="129" fillId="0" borderId="43" applyNumberFormat="0" applyFill="0" applyAlignment="0" applyProtection="0"/>
    <xf numFmtId="185" fontId="130" fillId="0" borderId="45" applyNumberFormat="0" applyFill="0" applyAlignment="0" applyProtection="0"/>
    <xf numFmtId="183" fontId="130" fillId="0" borderId="45" applyNumberFormat="0" applyFill="0" applyAlignment="0" applyProtection="0"/>
    <xf numFmtId="184" fontId="130" fillId="0" borderId="45" applyNumberFormat="0" applyFill="0" applyAlignment="0" applyProtection="0"/>
    <xf numFmtId="184" fontId="130" fillId="0" borderId="45" applyNumberFormat="0" applyFill="0" applyAlignment="0" applyProtection="0"/>
    <xf numFmtId="0" fontId="85" fillId="0" borderId="25" applyNumberFormat="0" applyFill="0" applyAlignment="0" applyProtection="0"/>
    <xf numFmtId="184" fontId="85" fillId="0" borderId="25" applyNumberFormat="0" applyFill="0" applyAlignment="0" applyProtection="0"/>
    <xf numFmtId="184" fontId="85" fillId="0" borderId="25" applyNumberFormat="0" applyFill="0" applyAlignment="0" applyProtection="0"/>
    <xf numFmtId="182" fontId="85" fillId="0" borderId="25" applyNumberFormat="0" applyFill="0" applyAlignment="0" applyProtection="0"/>
    <xf numFmtId="183" fontId="131" fillId="103" borderId="0">
      <alignment horizontal="right"/>
    </xf>
    <xf numFmtId="184" fontId="131" fillId="103" borderId="0">
      <alignment horizontal="right"/>
    </xf>
    <xf numFmtId="17" fontId="132" fillId="0" borderId="0" applyFont="0" applyFill="0" applyBorder="0" applyAlignment="0" applyProtection="0">
      <alignment horizontal="centerContinuous"/>
      <protection locked="0"/>
    </xf>
    <xf numFmtId="0" fontId="133" fillId="25"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2" fontId="115"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7" fontId="133" fillId="21" borderId="0" applyNumberFormat="0" applyBorder="0" applyAlignment="0" applyProtection="0"/>
    <xf numFmtId="184" fontId="133" fillId="21" borderId="0" applyNumberFormat="0" applyBorder="0" applyAlignment="0" applyProtection="0"/>
    <xf numFmtId="184" fontId="81" fillId="40" borderId="0" applyNumberFormat="0" applyBorder="0" applyAlignment="0" applyProtection="0"/>
    <xf numFmtId="0"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15"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115" fillId="21" borderId="0" applyNumberFormat="0" applyBorder="0" applyAlignment="0" applyProtection="0"/>
    <xf numFmtId="184" fontId="115" fillId="21" borderId="0" applyNumberFormat="0" applyBorder="0" applyAlignment="0" applyProtection="0"/>
    <xf numFmtId="184" fontId="115" fillId="21"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7" fontId="81" fillId="40" borderId="0" applyNumberFormat="0" applyBorder="0" applyAlignment="0" applyProtection="0"/>
    <xf numFmtId="0" fontId="133" fillId="25" borderId="0" applyNumberFormat="0" applyBorder="0" applyAlignment="0" applyProtection="0"/>
    <xf numFmtId="184" fontId="133" fillId="25"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5" fontId="81" fillId="40" borderId="0" applyNumberFormat="0" applyBorder="0" applyAlignment="0" applyProtection="0"/>
    <xf numFmtId="183"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0"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5" fontId="133" fillId="25" borderId="0" applyNumberFormat="0" applyBorder="0" applyAlignment="0" applyProtection="0"/>
    <xf numFmtId="183"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4" fontId="133" fillId="25" borderId="0" applyNumberFormat="0" applyBorder="0" applyAlignment="0" applyProtection="0"/>
    <xf numFmtId="185" fontId="133" fillId="21" borderId="0" applyNumberFormat="0" applyBorder="0" applyAlignment="0" applyProtection="0"/>
    <xf numFmtId="183" fontId="133" fillId="21" borderId="0" applyNumberFormat="0" applyBorder="0" applyAlignment="0" applyProtection="0"/>
    <xf numFmtId="184" fontId="133" fillId="21" borderId="0" applyNumberFormat="0" applyBorder="0" applyAlignment="0" applyProtection="0"/>
    <xf numFmtId="184" fontId="133" fillId="21" borderId="0" applyNumberFormat="0" applyBorder="0" applyAlignment="0" applyProtection="0"/>
    <xf numFmtId="0" fontId="81" fillId="40" borderId="0" applyNumberFormat="0" applyBorder="0" applyAlignment="0" applyProtection="0"/>
    <xf numFmtId="184" fontId="81" fillId="40" borderId="0" applyNumberFormat="0" applyBorder="0" applyAlignment="0" applyProtection="0"/>
    <xf numFmtId="184" fontId="81" fillId="40" borderId="0" applyNumberFormat="0" applyBorder="0" applyAlignment="0" applyProtection="0"/>
    <xf numFmtId="182" fontId="81" fillId="40" borderId="0" applyNumberFormat="0" applyBorder="0" applyAlignment="0" applyProtection="0"/>
    <xf numFmtId="37" fontId="134" fillId="0" borderId="0"/>
    <xf numFmtId="200" fontId="135"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6"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6" fillId="0" borderId="0"/>
    <xf numFmtId="183" fontId="136" fillId="0" borderId="0"/>
    <xf numFmtId="184" fontId="136"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6" fillId="0" borderId="0"/>
    <xf numFmtId="185" fontId="136" fillId="0" borderId="0"/>
    <xf numFmtId="183" fontId="136" fillId="0" borderId="0"/>
    <xf numFmtId="183" fontId="136" fillId="0" borderId="0"/>
    <xf numFmtId="184" fontId="136" fillId="0" borderId="0"/>
    <xf numFmtId="0" fontId="5" fillId="0" borderId="0"/>
    <xf numFmtId="183" fontId="5" fillId="0" borderId="0"/>
    <xf numFmtId="184" fontId="5" fillId="0" borderId="0"/>
    <xf numFmtId="184" fontId="5" fillId="0" borderId="0"/>
    <xf numFmtId="184" fontId="136" fillId="0" borderId="0"/>
    <xf numFmtId="185" fontId="136" fillId="0" borderId="0"/>
    <xf numFmtId="183" fontId="136" fillId="0" borderId="0"/>
    <xf numFmtId="184" fontId="136" fillId="0" borderId="0"/>
    <xf numFmtId="184" fontId="136"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6" fillId="0" borderId="0"/>
    <xf numFmtId="0" fontId="136" fillId="0" borderId="0"/>
    <xf numFmtId="183" fontId="136" fillId="0" borderId="0"/>
    <xf numFmtId="184" fontId="136" fillId="0" borderId="0"/>
    <xf numFmtId="184" fontId="136" fillId="0" borderId="0"/>
    <xf numFmtId="184" fontId="136"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3"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0" fontId="54" fillId="0" borderId="0"/>
    <xf numFmtId="183" fontId="54" fillId="0" borderId="0"/>
    <xf numFmtId="184" fontId="54" fillId="0" borderId="0"/>
    <xf numFmtId="184" fontId="54" fillId="0" borderId="0"/>
    <xf numFmtId="0" fontId="5" fillId="0" borderId="0"/>
    <xf numFmtId="183" fontId="5" fillId="0" borderId="0"/>
    <xf numFmtId="184" fontId="5" fillId="0" borderId="0"/>
    <xf numFmtId="184" fontId="5" fillId="0" borderId="0"/>
    <xf numFmtId="184" fontId="54"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8"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0" fontId="54" fillId="0" borderId="0"/>
    <xf numFmtId="183" fontId="54" fillId="0" borderId="0"/>
    <xf numFmtId="184" fontId="54" fillId="0" borderId="0"/>
    <xf numFmtId="184" fontId="54"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4" fillId="0" borderId="0"/>
    <xf numFmtId="0" fontId="23" fillId="104" borderId="0"/>
    <xf numFmtId="184" fontId="23" fillId="104" borderId="0"/>
    <xf numFmtId="184" fontId="54"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8"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4" fillId="105" borderId="0" applyBorder="0" applyAlignment="0">
      <alignment horizontal="left"/>
    </xf>
    <xf numFmtId="183" fontId="34" fillId="105" borderId="0" applyBorder="0" applyAlignment="0">
      <alignment horizontal="left"/>
    </xf>
    <xf numFmtId="184" fontId="34"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4" fillId="105" borderId="0" applyBorder="0" applyAlignment="0">
      <alignment horizontal="left"/>
    </xf>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0" fontId="5" fillId="44" borderId="27"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5" fillId="44" borderId="27"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38"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7"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1" fillId="26"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23" fillId="20" borderId="32"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21" fillId="20" borderId="46" applyNumberFormat="0" applyFont="0" applyAlignment="0" applyProtection="0"/>
    <xf numFmtId="184" fontId="21" fillId="20" borderId="46"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38" fillId="26" borderId="46" applyNumberFormat="0" applyFont="0" applyAlignment="0" applyProtection="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2" fontId="5"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38" fillId="26" borderId="46"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5"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0" fontId="5" fillId="44" borderId="27" applyNumberFormat="0" applyFont="0" applyAlignment="0" applyProtection="0"/>
    <xf numFmtId="183" fontId="5" fillId="44" borderId="27" applyNumberFormat="0" applyFont="0" applyAlignment="0" applyProtection="0"/>
    <xf numFmtId="184" fontId="5" fillId="44" borderId="27" applyNumberFormat="0" applyFont="0" applyAlignment="0" applyProtection="0"/>
    <xf numFmtId="184" fontId="5"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3" fontId="38" fillId="44" borderId="27" applyNumberFormat="0" applyFont="0" applyAlignment="0" applyProtection="0"/>
    <xf numFmtId="183"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38" fillId="44" borderId="27" applyNumberFormat="0" applyFont="0" applyAlignment="0" applyProtection="0"/>
    <xf numFmtId="184" fontId="38" fillId="44" borderId="27" applyNumberFormat="0" applyFont="0" applyAlignment="0" applyProtection="0"/>
    <xf numFmtId="184" fontId="38" fillId="44" borderId="27"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8" fillId="44" borderId="27" applyNumberFormat="0" applyFont="0" applyAlignment="0" applyProtection="0"/>
    <xf numFmtId="184" fontId="38" fillId="44" borderId="27" applyNumberFormat="0" applyFont="0" applyAlignment="0" applyProtection="0"/>
    <xf numFmtId="0" fontId="38"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5"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183"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4" fontId="21" fillId="26" borderId="46" applyNumberFormat="0" applyFont="0" applyAlignment="0" applyProtection="0"/>
    <xf numFmtId="0" fontId="21" fillId="26" borderId="46" applyNumberFormat="0" applyFont="0" applyAlignment="0" applyProtection="0"/>
    <xf numFmtId="184" fontId="21" fillId="26"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5" fontId="21" fillId="20" borderId="46" applyNumberFormat="0" applyFont="0" applyAlignment="0" applyProtection="0"/>
    <xf numFmtId="184" fontId="21" fillId="20" borderId="46" applyNumberFormat="0" applyFont="0" applyAlignment="0" applyProtection="0"/>
    <xf numFmtId="184" fontId="21" fillId="20" borderId="46"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5" fillId="0" borderId="0"/>
    <xf numFmtId="183" fontId="5" fillId="0" borderId="0"/>
    <xf numFmtId="184" fontId="5" fillId="0" borderId="0"/>
    <xf numFmtId="184" fontId="5" fillId="0" borderId="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0"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183" fontId="23" fillId="20" borderId="32" applyNumberFormat="0" applyFont="0" applyAlignment="0" applyProtection="0"/>
    <xf numFmtId="184" fontId="23" fillId="20" borderId="32" applyNumberFormat="0" applyFont="0" applyAlignment="0" applyProtection="0"/>
    <xf numFmtId="184" fontId="23" fillId="20" borderId="32" applyNumberFormat="0" applyFont="0" applyAlignment="0" applyProtection="0"/>
    <xf numFmtId="203" fontId="137" fillId="0" borderId="47" applyFont="0" applyFill="0" applyBorder="0" applyAlignment="0" applyProtection="0">
      <alignment horizontal="center"/>
      <protection locked="0"/>
    </xf>
    <xf numFmtId="203" fontId="137" fillId="0" borderId="47"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3" fillId="42" borderId="24" applyNumberFormat="0" applyAlignment="0" applyProtection="0"/>
    <xf numFmtId="0"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7"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75" borderId="48" applyNumberFormat="0" applyAlignment="0" applyProtection="0"/>
    <xf numFmtId="182" fontId="138" fillId="96" borderId="48" applyNumberFormat="0" applyAlignment="0" applyProtection="0"/>
    <xf numFmtId="0"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138" fillId="96"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5" fillId="0" borderId="0"/>
    <xf numFmtId="183" fontId="5" fillId="0" borderId="0"/>
    <xf numFmtId="184" fontId="5" fillId="0" borderId="0"/>
    <xf numFmtId="184" fontId="5" fillId="0" borderId="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3" fontId="138" fillId="96" borderId="48" applyNumberFormat="0" applyAlignment="0" applyProtection="0"/>
    <xf numFmtId="183"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96" borderId="48" applyNumberFormat="0" applyAlignment="0" applyProtection="0"/>
    <xf numFmtId="184" fontId="138" fillId="96" borderId="48" applyNumberFormat="0" applyAlignment="0" applyProtection="0"/>
    <xf numFmtId="184" fontId="138" fillId="96"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75" borderId="48"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184" fontId="83" fillId="42" borderId="24" applyNumberFormat="0" applyAlignment="0" applyProtection="0"/>
    <xf numFmtId="185"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83" fillId="42" borderId="24" applyNumberFormat="0" applyAlignment="0" applyProtection="0"/>
    <xf numFmtId="183" fontId="83" fillId="42" borderId="24" applyNumberFormat="0" applyAlignment="0" applyProtection="0"/>
    <xf numFmtId="184" fontId="83" fillId="42" borderId="24" applyNumberFormat="0" applyAlignment="0" applyProtection="0"/>
    <xf numFmtId="184" fontId="83" fillId="42" borderId="24"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3" fillId="42" borderId="24"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3" fontId="138" fillId="75" borderId="48" applyNumberFormat="0" applyAlignment="0" applyProtection="0"/>
    <xf numFmtId="183"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8" fillId="75" borderId="48" applyNumberFormat="0" applyAlignment="0" applyProtection="0"/>
    <xf numFmtId="184" fontId="138" fillId="75" borderId="48" applyNumberFormat="0" applyAlignment="0" applyProtection="0"/>
    <xf numFmtId="184" fontId="138" fillId="75"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3" fontId="138" fillId="97" borderId="48" applyNumberFormat="0" applyAlignment="0" applyProtection="0"/>
    <xf numFmtId="183"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8" fillId="97" borderId="48" applyNumberFormat="0" applyAlignment="0" applyProtection="0"/>
    <xf numFmtId="184" fontId="138" fillId="97" borderId="48" applyNumberFormat="0" applyAlignment="0" applyProtection="0"/>
    <xf numFmtId="184" fontId="138" fillId="97" borderId="48" applyNumberFormat="0" applyAlignment="0" applyProtection="0"/>
    <xf numFmtId="0" fontId="83" fillId="42" borderId="24" applyNumberFormat="0" applyAlignment="0" applyProtection="0"/>
    <xf numFmtId="184" fontId="83" fillId="42" borderId="24" applyNumberFormat="0" applyAlignment="0" applyProtection="0"/>
    <xf numFmtId="0" fontId="138" fillId="96" borderId="48" applyNumberFormat="0" applyAlignment="0" applyProtection="0"/>
    <xf numFmtId="184" fontId="138" fillId="96" borderId="48" applyNumberFormat="0" applyAlignment="0" applyProtection="0"/>
    <xf numFmtId="184" fontId="83" fillId="42" borderId="24" applyNumberFormat="0" applyAlignment="0" applyProtection="0"/>
    <xf numFmtId="10" fontId="139" fillId="0" borderId="49" applyFont="0" applyFill="0" applyBorder="0" applyAlignment="0" applyProtection="0">
      <alignment horizontal="center"/>
      <protection locked="0"/>
    </xf>
    <xf numFmtId="10" fontId="139"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40" fillId="0" borderId="0" applyFont="0" applyFill="0" applyBorder="0" applyProtection="0">
      <alignment horizontal="center"/>
    </xf>
    <xf numFmtId="190" fontId="140"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14" fontId="31" fillId="0" borderId="0">
      <alignment horizontal="center" wrapText="1"/>
      <protection locked="0"/>
    </xf>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1"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136"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6"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8"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5" fillId="0" borderId="0"/>
    <xf numFmtId="183" fontId="5" fillId="0" borderId="0"/>
    <xf numFmtId="184" fontId="5" fillId="0" borderId="0"/>
    <xf numFmtId="184" fontId="5" fillId="0" borderId="0"/>
    <xf numFmtId="9" fontId="4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41" fillId="0" borderId="50" applyFont="0" applyFill="0" applyBorder="0" applyAlignment="0" applyProtection="0">
      <alignment horizontal="center"/>
      <protection locked="0"/>
    </xf>
    <xf numFmtId="10" fontId="141" fillId="0" borderId="50"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4" fillId="0" borderId="0" applyFont="0" applyAlignment="0">
      <alignment horizontal="center" wrapText="1"/>
    </xf>
    <xf numFmtId="9" fontId="34"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42" fillId="0" borderId="0" applyNumberFormat="0" applyFill="0" applyBorder="0" applyProtection="0">
      <alignment horizontal="right"/>
    </xf>
    <xf numFmtId="9" fontId="142"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5"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4" fillId="0" borderId="0" applyNumberFormat="0" applyFont="0" applyFill="0" applyBorder="0" applyAlignment="0" applyProtection="0">
      <alignment horizontal="left"/>
    </xf>
    <xf numFmtId="0" fontId="44" fillId="0" borderId="0" applyNumberFormat="0" applyFont="0" applyFill="0" applyBorder="0" applyAlignment="0" applyProtection="0">
      <alignment horizontal="left"/>
    </xf>
    <xf numFmtId="183"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4" fillId="0" borderId="0" applyNumberFormat="0" applyFont="0" applyFill="0" applyBorder="0" applyAlignment="0" applyProtection="0">
      <alignment horizontal="left"/>
    </xf>
    <xf numFmtId="184" fontId="44" fillId="0" borderId="0" applyNumberFormat="0" applyFont="0" applyFill="0" applyBorder="0" applyAlignment="0" applyProtection="0">
      <alignment horizontal="left"/>
    </xf>
    <xf numFmtId="15" fontId="44" fillId="0" borderId="0" applyFont="0" applyFill="0" applyBorder="0" applyAlignment="0" applyProtection="0"/>
    <xf numFmtId="15" fontId="44" fillId="0" borderId="0" applyFont="0" applyFill="0" applyBorder="0" applyAlignment="0" applyProtection="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4" fontId="44" fillId="0" borderId="0" applyFont="0" applyFill="0" applyBorder="0" applyAlignment="0" applyProtection="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3" fontId="44" fillId="0" borderId="0" applyFont="0" applyFill="0" applyBorder="0" applyAlignment="0" applyProtection="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4"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3" fillId="106" borderId="0" applyNumberFormat="0" applyFont="0" applyBorder="0" applyAlignment="0">
      <alignment horizontal="center"/>
    </xf>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5"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183"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3" fillId="106" borderId="0" applyNumberFormat="0" applyFont="0" applyBorder="0" applyAlignment="0">
      <alignment horizontal="center"/>
    </xf>
    <xf numFmtId="0" fontId="143" fillId="106" borderId="0" applyNumberFormat="0" applyFont="0" applyBorder="0" applyAlignment="0">
      <alignment horizontal="center"/>
    </xf>
    <xf numFmtId="183" fontId="143" fillId="106" borderId="0" applyNumberFormat="0" applyFont="0" applyBorder="0" applyAlignment="0">
      <alignment horizontal="center"/>
    </xf>
    <xf numFmtId="184" fontId="143" fillId="106" borderId="0" applyNumberFormat="0" applyFont="0" applyBorder="0" applyAlignment="0">
      <alignment horizontal="center"/>
    </xf>
    <xf numFmtId="184" fontId="143"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3" fillId="106" borderId="0" applyNumberFormat="0" applyFont="0" applyBorder="0" applyAlignment="0">
      <alignment horizontal="center"/>
    </xf>
    <xf numFmtId="184" fontId="143" fillId="106" borderId="0" applyNumberFormat="0" applyFont="0" applyBorder="0" applyAlignment="0">
      <alignment horizontal="center"/>
    </xf>
    <xf numFmtId="205" fontId="144" fillId="0" borderId="0" applyNumberFormat="0" applyFill="0" applyBorder="0" applyAlignment="0" applyProtection="0">
      <alignment horizontal="left"/>
    </xf>
    <xf numFmtId="205" fontId="144"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2" applyNumberFormat="0" applyProtection="0">
      <alignment vertical="center"/>
    </xf>
    <xf numFmtId="4" fontId="23" fillId="25" borderId="32" applyNumberFormat="0" applyProtection="0">
      <alignment vertical="center"/>
    </xf>
    <xf numFmtId="0" fontId="21" fillId="0" borderId="0"/>
    <xf numFmtId="184" fontId="21" fillId="0" borderId="0"/>
    <xf numFmtId="4" fontId="23" fillId="25" borderId="32" applyNumberFormat="0" applyProtection="0">
      <alignment vertical="center"/>
    </xf>
    <xf numFmtId="184" fontId="21" fillId="0" borderId="0"/>
    <xf numFmtId="4" fontId="43" fillId="25" borderId="1"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0" fontId="5" fillId="0" borderId="0"/>
    <xf numFmtId="183" fontId="5" fillId="0" borderId="0"/>
    <xf numFmtId="184" fontId="5" fillId="0" borderId="0"/>
    <xf numFmtId="184" fontId="5" fillId="0" borderId="0"/>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23" fillId="25" borderId="32" applyNumberFormat="0" applyProtection="0">
      <alignment vertical="center"/>
    </xf>
    <xf numFmtId="4" fontId="43" fillId="25" borderId="1" applyNumberFormat="0" applyProtection="0">
      <alignment vertical="center"/>
    </xf>
    <xf numFmtId="4" fontId="43"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5" fillId="107" borderId="32" applyNumberFormat="0" applyProtection="0">
      <alignment vertical="center"/>
    </xf>
    <xf numFmtId="184" fontId="21" fillId="0" borderId="0"/>
    <xf numFmtId="4" fontId="45" fillId="25" borderId="1"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0" fontId="5" fillId="0" borderId="0"/>
    <xf numFmtId="183" fontId="5" fillId="0" borderId="0"/>
    <xf numFmtId="184" fontId="5" fillId="0" borderId="0"/>
    <xf numFmtId="184" fontId="5" fillId="0" borderId="0"/>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145" fillId="107" borderId="32" applyNumberFormat="0" applyProtection="0">
      <alignment vertical="center"/>
    </xf>
    <xf numFmtId="4" fontId="45" fillId="25" borderId="1" applyNumberFormat="0" applyProtection="0">
      <alignment vertical="center"/>
    </xf>
    <xf numFmtId="4" fontId="45"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5"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21" fillId="0" borderId="0"/>
    <xf numFmtId="184" fontId="21" fillId="0" borderId="0"/>
    <xf numFmtId="4" fontId="23" fillId="107" borderId="32" applyNumberFormat="0" applyProtection="0">
      <alignment horizontal="left" vertical="center" indent="1"/>
    </xf>
    <xf numFmtId="184" fontId="21" fillId="0" borderId="0"/>
    <xf numFmtId="4" fontId="43" fillId="25" borderId="1"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23" fillId="107" borderId="32" applyNumberFormat="0" applyProtection="0">
      <alignment horizontal="left" vertical="center" indent="1"/>
    </xf>
    <xf numFmtId="4" fontId="43" fillId="25" borderId="1" applyNumberFormat="0" applyProtection="0">
      <alignment horizontal="left" vertical="center" indent="1"/>
    </xf>
    <xf numFmtId="4" fontId="43"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3" fillId="25" borderId="1" applyNumberFormat="0" applyProtection="0">
      <alignment horizontal="left" vertical="top" indent="1"/>
    </xf>
    <xf numFmtId="0" fontId="21" fillId="0" borderId="0"/>
    <xf numFmtId="184" fontId="21" fillId="0" borderId="0"/>
    <xf numFmtId="187"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21" fillId="0" borderId="0"/>
    <xf numFmtId="182" fontId="146"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3" fontId="146" fillId="25" borderId="1" applyNumberFormat="0" applyProtection="0">
      <alignment horizontal="left" vertical="top" indent="1"/>
    </xf>
    <xf numFmtId="183"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6" fillId="25" borderId="1" applyNumberFormat="0" applyProtection="0">
      <alignment horizontal="left" vertical="top" indent="1"/>
    </xf>
    <xf numFmtId="184" fontId="146" fillId="25" borderId="1" applyNumberFormat="0" applyProtection="0">
      <alignment horizontal="left" vertical="top" indent="1"/>
    </xf>
    <xf numFmtId="184" fontId="146"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3" fillId="25" borderId="1" applyNumberFormat="0" applyProtection="0">
      <alignment horizontal="left" vertical="top" indent="1"/>
    </xf>
    <xf numFmtId="184" fontId="43" fillId="25" borderId="1" applyNumberFormat="0" applyProtection="0">
      <alignment horizontal="left" vertical="top" indent="1"/>
    </xf>
    <xf numFmtId="184" fontId="43"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43"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21" fillId="0" borderId="0"/>
    <xf numFmtId="184" fontId="21" fillId="0" borderId="0"/>
    <xf numFmtId="4" fontId="23" fillId="2" borderId="32" applyNumberFormat="0" applyProtection="0">
      <alignment horizontal="right" vertical="center"/>
    </xf>
    <xf numFmtId="4" fontId="23" fillId="2" borderId="32" applyNumberFormat="0" applyProtection="0">
      <alignment horizontal="right" vertical="center"/>
    </xf>
    <xf numFmtId="0" fontId="21" fillId="0" borderId="0"/>
    <xf numFmtId="184" fontId="21" fillId="0" borderId="0"/>
    <xf numFmtId="4" fontId="23" fillId="2" borderId="32" applyNumberFormat="0" applyProtection="0">
      <alignment horizontal="right" vertical="center"/>
    </xf>
    <xf numFmtId="184" fontId="21" fillId="0" borderId="0"/>
    <xf numFmtId="4" fontId="41" fillId="2" borderId="1"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23" fillId="2" borderId="32"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 borderId="1" applyNumberFormat="0" applyProtection="0">
      <alignment horizontal="right" vertical="center"/>
    </xf>
    <xf numFmtId="4" fontId="41" fillId="2" borderId="1" applyNumberFormat="0" applyProtection="0">
      <alignment horizontal="right" vertical="center"/>
    </xf>
    <xf numFmtId="4" fontId="41"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2" applyNumberFormat="0" applyProtection="0">
      <alignment horizontal="right" vertical="center"/>
    </xf>
    <xf numFmtId="4" fontId="23" fillId="108" borderId="32" applyNumberFormat="0" applyProtection="0">
      <alignment horizontal="right" vertical="center"/>
    </xf>
    <xf numFmtId="0" fontId="21" fillId="0" borderId="0"/>
    <xf numFmtId="184" fontId="21" fillId="0" borderId="0"/>
    <xf numFmtId="4" fontId="23" fillId="108" borderId="32" applyNumberFormat="0" applyProtection="0">
      <alignment horizontal="right" vertical="center"/>
    </xf>
    <xf numFmtId="184" fontId="21" fillId="0" borderId="0"/>
    <xf numFmtId="4" fontId="41" fillId="4" borderId="1"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23" fillId="108" borderId="32"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4" borderId="1" applyNumberFormat="0" applyProtection="0">
      <alignment horizontal="right" vertical="center"/>
    </xf>
    <xf numFmtId="4" fontId="41" fillId="4" borderId="1" applyNumberFormat="0" applyProtection="0">
      <alignment horizontal="right" vertical="center"/>
    </xf>
    <xf numFmtId="4" fontId="41"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1" applyNumberFormat="0" applyProtection="0">
      <alignment horizontal="right" vertical="center"/>
    </xf>
    <xf numFmtId="4" fontId="23" fillId="11" borderId="51" applyNumberFormat="0" applyProtection="0">
      <alignment horizontal="right" vertical="center"/>
    </xf>
    <xf numFmtId="0" fontId="21" fillId="0" borderId="0"/>
    <xf numFmtId="184" fontId="21" fillId="0" borderId="0"/>
    <xf numFmtId="184" fontId="21" fillId="0" borderId="0"/>
    <xf numFmtId="4" fontId="41" fillId="11" borderId="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23" fillId="11" borderId="5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1" borderId="1" applyNumberFormat="0" applyProtection="0">
      <alignment horizontal="right" vertical="center"/>
    </xf>
    <xf numFmtId="4" fontId="41" fillId="11" borderId="1" applyNumberFormat="0" applyProtection="0">
      <alignment horizontal="right" vertical="center"/>
    </xf>
    <xf numFmtId="4" fontId="41"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2" applyNumberFormat="0" applyProtection="0">
      <alignment horizontal="right" vertical="center"/>
    </xf>
    <xf numFmtId="4" fontId="23" fillId="6" borderId="32" applyNumberFormat="0" applyProtection="0">
      <alignment horizontal="right" vertical="center"/>
    </xf>
    <xf numFmtId="0" fontId="21" fillId="0" borderId="0"/>
    <xf numFmtId="184" fontId="21" fillId="0" borderId="0"/>
    <xf numFmtId="4" fontId="23" fillId="6" borderId="32" applyNumberFormat="0" applyProtection="0">
      <alignment horizontal="right" vertical="center"/>
    </xf>
    <xf numFmtId="184" fontId="21" fillId="0" borderId="0"/>
    <xf numFmtId="4" fontId="41" fillId="6" borderId="1"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23" fillId="6" borderId="32"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6" borderId="1" applyNumberFormat="0" applyProtection="0">
      <alignment horizontal="right" vertical="center"/>
    </xf>
    <xf numFmtId="4" fontId="41" fillId="6" borderId="1" applyNumberFormat="0" applyProtection="0">
      <alignment horizontal="right" vertical="center"/>
    </xf>
    <xf numFmtId="4" fontId="41"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2" applyNumberFormat="0" applyProtection="0">
      <alignment horizontal="right" vertical="center"/>
    </xf>
    <xf numFmtId="4" fontId="23" fillId="7" borderId="32" applyNumberFormat="0" applyProtection="0">
      <alignment horizontal="right" vertical="center"/>
    </xf>
    <xf numFmtId="0" fontId="21" fillId="0" borderId="0"/>
    <xf numFmtId="184" fontId="21" fillId="0" borderId="0"/>
    <xf numFmtId="4" fontId="23" fillId="7" borderId="32" applyNumberFormat="0" applyProtection="0">
      <alignment horizontal="right" vertical="center"/>
    </xf>
    <xf numFmtId="184" fontId="21" fillId="0" borderId="0"/>
    <xf numFmtId="4" fontId="41" fillId="7" borderId="1"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23" fillId="7" borderId="32"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7" borderId="1" applyNumberFormat="0" applyProtection="0">
      <alignment horizontal="right" vertical="center"/>
    </xf>
    <xf numFmtId="4" fontId="41" fillId="7" borderId="1" applyNumberFormat="0" applyProtection="0">
      <alignment horizontal="right" vertical="center"/>
    </xf>
    <xf numFmtId="4" fontId="41"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2" applyNumberFormat="0" applyProtection="0">
      <alignment horizontal="right" vertical="center"/>
    </xf>
    <xf numFmtId="4" fontId="23" fillId="19" borderId="32" applyNumberFormat="0" applyProtection="0">
      <alignment horizontal="right" vertical="center"/>
    </xf>
    <xf numFmtId="0" fontId="21" fillId="0" borderId="0"/>
    <xf numFmtId="184" fontId="21" fillId="0" borderId="0"/>
    <xf numFmtId="4" fontId="23" fillId="19" borderId="32" applyNumberFormat="0" applyProtection="0">
      <alignment horizontal="right" vertical="center"/>
    </xf>
    <xf numFmtId="184" fontId="21" fillId="0" borderId="0"/>
    <xf numFmtId="4" fontId="41" fillId="19" borderId="1"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23" fillId="19" borderId="32"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9" borderId="1" applyNumberFormat="0" applyProtection="0">
      <alignment horizontal="right" vertical="center"/>
    </xf>
    <xf numFmtId="4" fontId="41" fillId="19" borderId="1" applyNumberFormat="0" applyProtection="0">
      <alignment horizontal="right" vertical="center"/>
    </xf>
    <xf numFmtId="4" fontId="41"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2" applyNumberFormat="0" applyProtection="0">
      <alignment horizontal="right" vertical="center"/>
    </xf>
    <xf numFmtId="4" fontId="23" fillId="15" borderId="32" applyNumberFormat="0" applyProtection="0">
      <alignment horizontal="right" vertical="center"/>
    </xf>
    <xf numFmtId="0" fontId="21" fillId="0" borderId="0"/>
    <xf numFmtId="184" fontId="21" fillId="0" borderId="0"/>
    <xf numFmtId="4" fontId="23" fillId="15" borderId="32" applyNumberFormat="0" applyProtection="0">
      <alignment horizontal="right" vertical="center"/>
    </xf>
    <xf numFmtId="184" fontId="21" fillId="0" borderId="0"/>
    <xf numFmtId="4" fontId="41" fillId="15" borderId="1"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23" fillId="15" borderId="32"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15" borderId="1" applyNumberFormat="0" applyProtection="0">
      <alignment horizontal="right" vertical="center"/>
    </xf>
    <xf numFmtId="4" fontId="41" fillId="15" borderId="1" applyNumberFormat="0" applyProtection="0">
      <alignment horizontal="right" vertical="center"/>
    </xf>
    <xf numFmtId="4" fontId="41"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2" applyNumberFormat="0" applyProtection="0">
      <alignment horizontal="right" vertical="center"/>
    </xf>
    <xf numFmtId="4" fontId="23" fillId="28" borderId="32" applyNumberFormat="0" applyProtection="0">
      <alignment horizontal="right" vertical="center"/>
    </xf>
    <xf numFmtId="0" fontId="21" fillId="0" borderId="0"/>
    <xf numFmtId="184" fontId="21" fillId="0" borderId="0"/>
    <xf numFmtId="4" fontId="23" fillId="28" borderId="32" applyNumberFormat="0" applyProtection="0">
      <alignment horizontal="right" vertical="center"/>
    </xf>
    <xf numFmtId="184" fontId="21" fillId="0" borderId="0"/>
    <xf numFmtId="4" fontId="41" fillId="28" borderId="1"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23" fillId="28" borderId="32"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8" borderId="1" applyNumberFormat="0" applyProtection="0">
      <alignment horizontal="right" vertical="center"/>
    </xf>
    <xf numFmtId="4" fontId="41" fillId="28" borderId="1" applyNumberFormat="0" applyProtection="0">
      <alignment horizontal="right" vertical="center"/>
    </xf>
    <xf numFmtId="4" fontId="41"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2" applyNumberFormat="0" applyProtection="0">
      <alignment horizontal="right" vertical="center"/>
    </xf>
    <xf numFmtId="4" fontId="23" fillId="5" borderId="32" applyNumberFormat="0" applyProtection="0">
      <alignment horizontal="right" vertical="center"/>
    </xf>
    <xf numFmtId="0" fontId="21" fillId="0" borderId="0"/>
    <xf numFmtId="184" fontId="21" fillId="0" borderId="0"/>
    <xf numFmtId="4" fontId="23" fillId="5" borderId="32" applyNumberFormat="0" applyProtection="0">
      <alignment horizontal="right" vertical="center"/>
    </xf>
    <xf numFmtId="184" fontId="21" fillId="0" borderId="0"/>
    <xf numFmtId="4" fontId="41" fillId="5" borderId="1"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23" fillId="5" borderId="32"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5" borderId="1" applyNumberFormat="0" applyProtection="0">
      <alignment horizontal="right" vertical="center"/>
    </xf>
    <xf numFmtId="4" fontId="41" fillId="5" borderId="1" applyNumberFormat="0" applyProtection="0">
      <alignment horizontal="right" vertical="center"/>
    </xf>
    <xf numFmtId="4" fontId="41"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0" fontId="21" fillId="0" borderId="0"/>
    <xf numFmtId="184" fontId="21" fillId="0" borderId="0"/>
    <xf numFmtId="184" fontId="21" fillId="0" borderId="0"/>
    <xf numFmtId="4" fontId="43" fillId="29" borderId="2"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23" fillId="29" borderId="51" applyNumberFormat="0" applyProtection="0">
      <alignment horizontal="left" vertical="center" indent="1"/>
    </xf>
    <xf numFmtId="4" fontId="43"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1" fillId="30"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31" borderId="0"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21" fillId="31" borderId="51" applyNumberFormat="0" applyProtection="0">
      <alignment horizontal="left" vertical="center" indent="1"/>
    </xf>
    <xf numFmtId="4" fontId="46"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2" applyNumberFormat="0" applyProtection="0">
      <alignment horizontal="right" vertical="center"/>
    </xf>
    <xf numFmtId="4" fontId="23" fillId="27" borderId="32" applyNumberFormat="0" applyProtection="0">
      <alignment horizontal="right" vertical="center"/>
    </xf>
    <xf numFmtId="0" fontId="21" fillId="0" borderId="0"/>
    <xf numFmtId="184" fontId="21" fillId="0" borderId="0"/>
    <xf numFmtId="4" fontId="23" fillId="27" borderId="32" applyNumberFormat="0" applyProtection="0">
      <alignment horizontal="right" vertical="center"/>
    </xf>
    <xf numFmtId="184" fontId="21" fillId="0" borderId="0"/>
    <xf numFmtId="4" fontId="41" fillId="27" borderId="1"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23" fillId="27" borderId="32"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right" vertical="center"/>
    </xf>
    <xf numFmtId="4" fontId="41" fillId="27" borderId="1" applyNumberFormat="0" applyProtection="0">
      <alignment horizontal="right" vertical="center"/>
    </xf>
    <xf numFmtId="4" fontId="41"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0" fontId="21" fillId="0" borderId="0"/>
    <xf numFmtId="184" fontId="21" fillId="0" borderId="0"/>
    <xf numFmtId="184" fontId="21" fillId="0" borderId="0"/>
    <xf numFmtId="4" fontId="41" fillId="30" borderId="0"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23" fillId="30" borderId="51"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4" fontId="41"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0" fontId="21" fillId="0" borderId="0"/>
    <xf numFmtId="184" fontId="21" fillId="0" borderId="0"/>
    <xf numFmtId="184" fontId="21" fillId="0" borderId="0"/>
    <xf numFmtId="4" fontId="41" fillId="27" borderId="0"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23" fillId="27" borderId="51"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4" fontId="41"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0" fontId="21" fillId="0" borderId="0"/>
    <xf numFmtId="184" fontId="21" fillId="0" borderId="0"/>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1" fillId="0" borderId="0"/>
    <xf numFmtId="182" fontId="23" fillId="75" borderId="32"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3"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7"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0" fontId="23" fillId="75" borderId="32" applyNumberFormat="0" applyProtection="0">
      <alignment horizontal="left" vertical="center" indent="1"/>
    </xf>
    <xf numFmtId="184" fontId="23" fillId="75" borderId="32" applyNumberFormat="0" applyProtection="0">
      <alignment horizontal="left" vertical="center" indent="1"/>
    </xf>
    <xf numFmtId="184" fontId="23" fillId="75" borderId="32"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0" fontId="21" fillId="0" borderId="0"/>
    <xf numFmtId="184" fontId="21" fillId="0" borderId="0"/>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1" fillId="0" borderId="0"/>
    <xf numFmtId="182" fontId="23" fillId="109" borderId="32"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3"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7"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0" fontId="23" fillId="109" borderId="32" applyNumberFormat="0" applyProtection="0">
      <alignment horizontal="left" vertical="center" indent="1"/>
    </xf>
    <xf numFmtId="184" fontId="23" fillId="109" borderId="32" applyNumberFormat="0" applyProtection="0">
      <alignment horizontal="left" vertical="center" indent="1"/>
    </xf>
    <xf numFmtId="184" fontId="23" fillId="109" borderId="32"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0" fontId="21" fillId="0" borderId="0"/>
    <xf numFmtId="184" fontId="21" fillId="0" borderId="0"/>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1" fillId="0" borderId="0"/>
    <xf numFmtId="182" fontId="23" fillId="3" borderId="32"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183"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3" fillId="3" borderId="32" applyNumberFormat="0" applyProtection="0">
      <alignment horizontal="left" vertical="center" indent="1"/>
    </xf>
    <xf numFmtId="184" fontId="23" fillId="3" borderId="32" applyNumberFormat="0" applyProtection="0">
      <alignment horizontal="left" vertical="center" indent="1"/>
    </xf>
    <xf numFmtId="184" fontId="23" fillId="3" borderId="32"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0" fontId="21" fillId="0" borderId="0"/>
    <xf numFmtId="184" fontId="21" fillId="0" borderId="0"/>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1" fillId="0" borderId="0"/>
    <xf numFmtId="182" fontId="23" fillId="30" borderId="32"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183"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3" fillId="30" borderId="32" applyNumberFormat="0" applyProtection="0">
      <alignment horizontal="left" vertical="center" indent="1"/>
    </xf>
    <xf numFmtId="184" fontId="23" fillId="30" borderId="32" applyNumberFormat="0" applyProtection="0">
      <alignment horizontal="left" vertical="center" indent="1"/>
    </xf>
    <xf numFmtId="184" fontId="23" fillId="30" borderId="32"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2" applyNumberFormat="0">
      <protection locked="0"/>
    </xf>
    <xf numFmtId="184" fontId="23" fillId="32" borderId="52"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2" applyNumberFormat="0">
      <protection locked="0"/>
    </xf>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2" applyNumberFormat="0">
      <protection locked="0"/>
    </xf>
    <xf numFmtId="0" fontId="23" fillId="32" borderId="52" applyNumberFormat="0">
      <protection locked="0"/>
    </xf>
    <xf numFmtId="0" fontId="23" fillId="32" borderId="52"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2" applyNumberFormat="0">
      <protection locked="0"/>
    </xf>
    <xf numFmtId="183"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23" fillId="32" borderId="52" applyNumberFormat="0">
      <protection locked="0"/>
    </xf>
    <xf numFmtId="0"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183" fontId="23" fillId="32" borderId="52" applyNumberFormat="0">
      <protection locked="0"/>
    </xf>
    <xf numFmtId="184" fontId="23" fillId="32" borderId="52" applyNumberFormat="0">
      <protection locked="0"/>
    </xf>
    <xf numFmtId="184" fontId="23" fillId="32" borderId="52" applyNumberFormat="0">
      <protection locked="0"/>
    </xf>
    <xf numFmtId="0" fontId="5" fillId="0" borderId="0"/>
    <xf numFmtId="183" fontId="5" fillId="0" borderId="0"/>
    <xf numFmtId="184" fontId="5" fillId="0" borderId="0"/>
    <xf numFmtId="184" fontId="5" fillId="0" borderId="0"/>
    <xf numFmtId="183" fontId="23" fillId="32" borderId="52" applyNumberFormat="0">
      <protection locked="0"/>
    </xf>
    <xf numFmtId="184" fontId="23" fillId="32" borderId="52" applyNumberFormat="0">
      <protection locked="0"/>
    </xf>
    <xf numFmtId="184" fontId="23" fillId="32" borderId="52" applyNumberFormat="0">
      <protection locked="0"/>
    </xf>
    <xf numFmtId="182" fontId="147" fillId="31" borderId="53" applyBorder="0"/>
    <xf numFmtId="184" fontId="147" fillId="31" borderId="53" applyBorder="0"/>
    <xf numFmtId="182" fontId="147" fillId="31" borderId="53" applyBorder="0"/>
    <xf numFmtId="0"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185"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185"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7" fillId="31" borderId="53" applyBorder="0"/>
    <xf numFmtId="184" fontId="147" fillId="31" borderId="53" applyBorder="0"/>
    <xf numFmtId="184" fontId="147" fillId="31" borderId="53" applyBorder="0"/>
    <xf numFmtId="183"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7" fillId="31" borderId="53" applyBorder="0"/>
    <xf numFmtId="184" fontId="147" fillId="31" borderId="53" applyBorder="0"/>
    <xf numFmtId="184" fontId="147" fillId="31" borderId="53" applyBorder="0"/>
    <xf numFmtId="0" fontId="147" fillId="31" borderId="53" applyBorder="0"/>
    <xf numFmtId="183" fontId="147" fillId="31" borderId="53" applyBorder="0"/>
    <xf numFmtId="183"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184" fontId="147" fillId="31" borderId="53"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7" fillId="31" borderId="53" applyBorder="0"/>
    <xf numFmtId="187" fontId="147" fillId="31" borderId="53" applyBorder="0"/>
    <xf numFmtId="184" fontId="147" fillId="31" borderId="53" applyBorder="0"/>
    <xf numFmtId="184" fontId="147" fillId="31" borderId="53" applyBorder="0"/>
    <xf numFmtId="0" fontId="147" fillId="31" borderId="53" applyBorder="0"/>
    <xf numFmtId="184" fontId="147" fillId="31" borderId="53" applyBorder="0"/>
    <xf numFmtId="0" fontId="21" fillId="0" borderId="0"/>
    <xf numFmtId="184" fontId="21" fillId="0" borderId="0"/>
    <xf numFmtId="0" fontId="21" fillId="0" borderId="0"/>
    <xf numFmtId="184" fontId="21" fillId="0" borderId="0"/>
    <xf numFmtId="4" fontId="139" fillId="26" borderId="1" applyNumberFormat="0" applyProtection="0">
      <alignment vertical="center"/>
    </xf>
    <xf numFmtId="184" fontId="21" fillId="0" borderId="0"/>
    <xf numFmtId="4" fontId="41"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4" fontId="139" fillId="26" borderId="1" applyNumberFormat="0" applyProtection="0">
      <alignment vertical="center"/>
    </xf>
    <xf numFmtId="0" fontId="5" fillId="0" borderId="0"/>
    <xf numFmtId="183" fontId="5" fillId="0" borderId="0"/>
    <xf numFmtId="184" fontId="5" fillId="0" borderId="0"/>
    <xf numFmtId="184" fontId="5" fillId="0" borderId="0"/>
    <xf numFmtId="4" fontId="139"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vertical="center"/>
    </xf>
    <xf numFmtId="4" fontId="41" fillId="26" borderId="1" applyNumberFormat="0" applyProtection="0">
      <alignment vertical="center"/>
    </xf>
    <xf numFmtId="4" fontId="41"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7" fillId="26" borderId="1" applyNumberFormat="0" applyProtection="0">
      <alignment vertical="center"/>
    </xf>
    <xf numFmtId="4" fontId="145" fillId="102" borderId="3" applyNumberFormat="0" applyProtection="0">
      <alignment vertical="center"/>
    </xf>
    <xf numFmtId="4" fontId="145" fillId="102" borderId="3" applyNumberFormat="0" applyProtection="0">
      <alignment vertical="center"/>
    </xf>
    <xf numFmtId="0" fontId="5" fillId="0" borderId="0"/>
    <xf numFmtId="183" fontId="5" fillId="0" borderId="0"/>
    <xf numFmtId="184" fontId="5" fillId="0" borderId="0"/>
    <xf numFmtId="184" fontId="5" fillId="0" borderId="0"/>
    <xf numFmtId="4" fontId="47" fillId="26" borderId="1" applyNumberFormat="0" applyProtection="0">
      <alignment vertical="center"/>
    </xf>
    <xf numFmtId="4" fontId="47"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9" fillId="75" borderId="1" applyNumberFormat="0" applyProtection="0">
      <alignment horizontal="left" vertical="center" indent="1"/>
    </xf>
    <xf numFmtId="184" fontId="21" fillId="0" borderId="0"/>
    <xf numFmtId="4" fontId="41" fillId="26"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4" fontId="139"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9" fillId="75"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6" borderId="1" applyNumberFormat="0" applyProtection="0">
      <alignment horizontal="left" vertical="center" indent="1"/>
    </xf>
    <xf numFmtId="4" fontId="41" fillId="26" borderId="1" applyNumberFormat="0" applyProtection="0">
      <alignment horizontal="left" vertical="center" indent="1"/>
    </xf>
    <xf numFmtId="4" fontId="41"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1" fillId="26" borderId="1" applyNumberFormat="0" applyProtection="0">
      <alignment horizontal="left" vertical="top" indent="1"/>
    </xf>
    <xf numFmtId="0" fontId="21" fillId="0" borderId="0"/>
    <xf numFmtId="184" fontId="21" fillId="0" borderId="0"/>
    <xf numFmtId="187"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21" fillId="0" borderId="0"/>
    <xf numFmtId="182" fontId="139"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3" fontId="139" fillId="26" borderId="1" applyNumberFormat="0" applyProtection="0">
      <alignment horizontal="left" vertical="top" indent="1"/>
    </xf>
    <xf numFmtId="183"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9" fillId="26" borderId="1" applyNumberFormat="0" applyProtection="0">
      <alignment horizontal="left" vertical="top" indent="1"/>
    </xf>
    <xf numFmtId="184" fontId="139" fillId="26" borderId="1" applyNumberFormat="0" applyProtection="0">
      <alignment horizontal="left" vertical="top" indent="1"/>
    </xf>
    <xf numFmtId="184" fontId="139"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5"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41" fillId="26" borderId="1" applyNumberFormat="0" applyProtection="0">
      <alignment horizontal="left" vertical="top" indent="1"/>
    </xf>
    <xf numFmtId="184" fontId="41" fillId="26" borderId="1" applyNumberFormat="0" applyProtection="0">
      <alignment horizontal="left" vertical="top" indent="1"/>
    </xf>
    <xf numFmtId="184" fontId="41"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1" fillId="30" borderId="1"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23" fillId="0" borderId="32"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4" fontId="47"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7" fillId="30" borderId="1"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145" fillId="110" borderId="32" applyNumberFormat="0" applyProtection="0">
      <alignment horizontal="right" vertical="center"/>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4" fontId="4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27" borderId="1"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41" fillId="27" borderId="1"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4" fontId="23" fillId="78" borderId="32"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1" fillId="27" borderId="1" applyNumberFormat="0" applyProtection="0">
      <alignment horizontal="left" vertical="top" indent="1"/>
    </xf>
    <xf numFmtId="0" fontId="21" fillId="0" borderId="0"/>
    <xf numFmtId="184" fontId="21" fillId="0" borderId="0"/>
    <xf numFmtId="187"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21" fillId="0" borderId="0"/>
    <xf numFmtId="182" fontId="139"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3" fontId="139" fillId="27" borderId="1" applyNumberFormat="0" applyProtection="0">
      <alignment horizontal="left" vertical="top" indent="1"/>
    </xf>
    <xf numFmtId="183"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9" fillId="27" borderId="1" applyNumberFormat="0" applyProtection="0">
      <alignment horizontal="left" vertical="top" indent="1"/>
    </xf>
    <xf numFmtId="184" fontId="139" fillId="27" borderId="1" applyNumberFormat="0" applyProtection="0">
      <alignment horizontal="left" vertical="top" indent="1"/>
    </xf>
    <xf numFmtId="184" fontId="139"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5"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41" fillId="27" borderId="1" applyNumberFormat="0" applyProtection="0">
      <alignment horizontal="left" vertical="top" indent="1"/>
    </xf>
    <xf numFmtId="184" fontId="41" fillId="27" borderId="1" applyNumberFormat="0" applyProtection="0">
      <alignment horizontal="left" vertical="top" indent="1"/>
    </xf>
    <xf numFmtId="184" fontId="4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8" fillId="33" borderId="0"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0" fontId="5" fillId="0" borderId="0"/>
    <xf numFmtId="183" fontId="5" fillId="0" borderId="0"/>
    <xf numFmtId="184" fontId="5" fillId="0" borderId="0"/>
    <xf numFmtId="184" fontId="5" fillId="0" borderId="0"/>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148" fillId="33" borderId="51" applyNumberFormat="0" applyProtection="0">
      <alignment horizontal="left" vertical="center" indent="1"/>
    </xf>
    <xf numFmtId="4" fontId="48"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9" fillId="32" borderId="32" applyNumberFormat="0" applyProtection="0">
      <alignment horizontal="right" vertical="center"/>
    </xf>
    <xf numFmtId="184" fontId="21" fillId="0" borderId="0"/>
    <xf numFmtId="4" fontId="42" fillId="30" borderId="1"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0" fontId="5" fillId="0" borderId="0"/>
    <xf numFmtId="183" fontId="5" fillId="0" borderId="0"/>
    <xf numFmtId="184" fontId="5" fillId="0" borderId="0"/>
    <xf numFmtId="184" fontId="5" fillId="0" borderId="0"/>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149" fillId="32" borderId="32" applyNumberFormat="0" applyProtection="0">
      <alignment horizontal="right" vertical="center"/>
    </xf>
    <xf numFmtId="4" fontId="42" fillId="30" borderId="1" applyNumberFormat="0" applyProtection="0">
      <alignment horizontal="right" vertical="center"/>
    </xf>
    <xf numFmtId="4" fontId="42"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5"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3"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0"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7" fontId="143" fillId="1" borderId="9" applyNumberFormat="0" applyFont="0" applyAlignment="0">
      <alignment horizontal="center"/>
    </xf>
    <xf numFmtId="184" fontId="143" fillId="1" borderId="9" applyNumberFormat="0" applyFont="0" applyAlignment="0">
      <alignment horizontal="center"/>
    </xf>
    <xf numFmtId="184" fontId="143" fillId="1" borderId="9" applyNumberFormat="0" applyFont="0" applyAlignment="0">
      <alignment horizontal="center"/>
    </xf>
    <xf numFmtId="182"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150" fillId="0" borderId="0" applyNumberFormat="0" applyFill="0" applyBorder="0" applyAlignment="0">
      <alignment horizontal="center"/>
    </xf>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5"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183"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0" fillId="0" borderId="0" applyNumberFormat="0" applyFill="0" applyBorder="0" applyAlignment="0">
      <alignment horizontal="center"/>
    </xf>
    <xf numFmtId="0" fontId="150" fillId="0" borderId="0" applyNumberFormat="0" applyFill="0" applyBorder="0" applyAlignment="0">
      <alignment horizontal="center"/>
    </xf>
    <xf numFmtId="183" fontId="150" fillId="0" borderId="0" applyNumberFormat="0" applyFill="0" applyBorder="0" applyAlignment="0">
      <alignment horizontal="center"/>
    </xf>
    <xf numFmtId="184" fontId="150" fillId="0" borderId="0" applyNumberFormat="0" applyFill="0" applyBorder="0" applyAlignment="0">
      <alignment horizontal="center"/>
    </xf>
    <xf numFmtId="184" fontId="150"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0" fillId="0" borderId="0" applyNumberFormat="0" applyFill="0" applyBorder="0" applyAlignment="0">
      <alignment horizontal="center"/>
    </xf>
    <xf numFmtId="184" fontId="150" fillId="0" borderId="0" applyNumberFormat="0" applyFill="0" applyBorder="0" applyAlignment="0">
      <alignment horizontal="center"/>
    </xf>
    <xf numFmtId="183" fontId="151" fillId="0" borderId="0">
      <alignment horizontal="right"/>
    </xf>
    <xf numFmtId="183" fontId="151" fillId="0" borderId="0">
      <alignment horizontal="right"/>
    </xf>
    <xf numFmtId="184" fontId="151"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52" fillId="0" borderId="0" applyBorder="0">
      <alignment horizontal="right"/>
    </xf>
    <xf numFmtId="40" fontId="152"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3" fillId="0" borderId="0">
      <alignment horizontal="left"/>
    </xf>
    <xf numFmtId="49" fontId="153"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4" fillId="112" borderId="0" applyNumberFormat="0" applyBorder="0" applyAlignment="0" applyProtection="0">
      <protection locked="0"/>
    </xf>
    <xf numFmtId="183" fontId="154" fillId="112" borderId="0" applyNumberFormat="0" applyBorder="0" applyAlignment="0" applyProtection="0">
      <protection locked="0"/>
    </xf>
    <xf numFmtId="184" fontId="154"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112" borderId="0" applyNumberFormat="0" applyBorder="0" applyAlignment="0" applyProtection="0">
      <protection locked="0"/>
    </xf>
    <xf numFmtId="0"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9" fillId="0" borderId="0" applyNumberFormat="0" applyFill="0" applyBorder="0" applyAlignment="0" applyProtection="0"/>
    <xf numFmtId="0" fontId="155" fillId="0" borderId="0" applyNumberFormat="0" applyFill="0" applyBorder="0" applyAlignment="0" applyProtection="0"/>
    <xf numFmtId="184" fontId="155" fillId="0" borderId="0" applyNumberFormat="0" applyFill="0" applyBorder="0" applyAlignment="0" applyProtection="0"/>
    <xf numFmtId="184" fontId="49" fillId="0" borderId="0" applyNumberFormat="0" applyFill="0" applyBorder="0" applyAlignment="0" applyProtection="0"/>
    <xf numFmtId="184" fontId="15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0"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155"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15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5" fontId="49" fillId="0" borderId="0" applyNumberFormat="0" applyFill="0" applyBorder="0" applyAlignment="0" applyProtection="0"/>
    <xf numFmtId="183" fontId="49" fillId="0" borderId="0" applyNumberFormat="0" applyFill="0" applyBorder="0" applyAlignment="0" applyProtection="0"/>
    <xf numFmtId="184" fontId="49" fillId="0" borderId="0" applyNumberFormat="0" applyFill="0" applyBorder="0" applyAlignment="0" applyProtection="0"/>
    <xf numFmtId="184" fontId="49"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9"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82" fontId="52" fillId="0" borderId="28" applyNumberFormat="0" applyFill="0" applyAlignment="0" applyProtection="0"/>
    <xf numFmtId="0"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7"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4" applyNumberFormat="0" applyFill="0" applyAlignment="0" applyProtection="0"/>
    <xf numFmtId="182" fontId="40" fillId="0" borderId="55"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185"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52" fillId="0" borderId="28" applyNumberFormat="0" applyFill="0" applyAlignment="0" applyProtection="0"/>
    <xf numFmtId="183" fontId="52" fillId="0" borderId="28" applyNumberFormat="0" applyFill="0" applyAlignment="0" applyProtection="0"/>
    <xf numFmtId="184" fontId="52" fillId="0" borderId="28" applyNumberFormat="0" applyFill="0" applyAlignment="0" applyProtection="0"/>
    <xf numFmtId="184" fontId="52" fillId="0" borderId="28"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2" fillId="0" borderId="28"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3" fontId="40" fillId="0" borderId="54" applyNumberFormat="0" applyFill="0" applyAlignment="0" applyProtection="0"/>
    <xf numFmtId="183"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0" borderId="54" applyNumberFormat="0" applyFill="0" applyAlignment="0" applyProtection="0"/>
    <xf numFmtId="184" fontId="40" fillId="0" borderId="54" applyNumberFormat="0" applyFill="0" applyAlignment="0" applyProtection="0"/>
    <xf numFmtId="184" fontId="40" fillId="0" borderId="54" applyNumberFormat="0" applyFill="0" applyAlignment="0" applyProtection="0"/>
    <xf numFmtId="197" fontId="21" fillId="0" borderId="16">
      <protection locked="0"/>
    </xf>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3" fontId="40" fillId="0" borderId="55" applyNumberFormat="0" applyFill="0" applyAlignment="0" applyProtection="0"/>
    <xf numFmtId="183"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0" borderId="55" applyNumberFormat="0" applyFill="0" applyAlignment="0" applyProtection="0"/>
    <xf numFmtId="184" fontId="40" fillId="0" borderId="55" applyNumberFormat="0" applyFill="0" applyAlignment="0" applyProtection="0"/>
    <xf numFmtId="184" fontId="40" fillId="0" borderId="55" applyNumberFormat="0" applyFill="0" applyAlignment="0" applyProtection="0"/>
    <xf numFmtId="197" fontId="21" fillId="0" borderId="16">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2" fillId="0" borderId="28" applyNumberFormat="0" applyFill="0" applyAlignment="0" applyProtection="0"/>
    <xf numFmtId="184" fontId="52" fillId="0" borderId="28" applyNumberFormat="0" applyFill="0" applyAlignment="0" applyProtection="0"/>
    <xf numFmtId="0" fontId="40" fillId="0" borderId="55" applyNumberFormat="0" applyFill="0" applyAlignment="0" applyProtection="0"/>
    <xf numFmtId="184" fontId="40" fillId="0" borderId="55" applyNumberFormat="0" applyFill="0" applyAlignment="0" applyProtection="0"/>
    <xf numFmtId="184" fontId="52" fillId="0" borderId="28"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6" fillId="0" borderId="42" applyProtection="0"/>
    <xf numFmtId="3" fontId="156" fillId="0" borderId="42"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182" fontId="158"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8"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3"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8" fillId="0" borderId="0" applyNumberFormat="0" applyFill="0" applyBorder="0" applyAlignment="0" applyProtection="0"/>
    <xf numFmtId="183" fontId="158" fillId="0" borderId="0" applyNumberFormat="0" applyFill="0" applyBorder="0" applyAlignment="0" applyProtection="0"/>
    <xf numFmtId="184" fontId="158" fillId="0" borderId="0" applyNumberFormat="0" applyFill="0" applyBorder="0" applyAlignment="0" applyProtection="0"/>
    <xf numFmtId="184" fontId="15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8"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7" fillId="0" borderId="0" applyNumberFormat="0" applyFill="0" applyBorder="0" applyAlignment="0" applyProtection="0"/>
    <xf numFmtId="0"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185"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87" fillId="0" borderId="0" applyNumberFormat="0" applyFill="0" applyBorder="0" applyAlignment="0" applyProtection="0"/>
    <xf numFmtId="183"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185" fontId="157" fillId="0" borderId="0" applyNumberFormat="0" applyFill="0" applyBorder="0" applyAlignment="0" applyProtection="0"/>
    <xf numFmtId="183" fontId="157" fillId="0" borderId="0" applyNumberFormat="0" applyFill="0" applyBorder="0" applyAlignment="0" applyProtection="0"/>
    <xf numFmtId="184" fontId="157" fillId="0" borderId="0" applyNumberFormat="0" applyFill="0" applyBorder="0" applyAlignment="0" applyProtection="0"/>
    <xf numFmtId="184" fontId="157"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7" fillId="0" borderId="0" applyNumberFormat="0" applyFill="0" applyBorder="0" applyAlignment="0" applyProtection="0"/>
    <xf numFmtId="0" fontId="87" fillId="0" borderId="0" applyNumberFormat="0" applyFill="0" applyBorder="0" applyAlignment="0" applyProtection="0"/>
    <xf numFmtId="184" fontId="87" fillId="0" borderId="0" applyNumberFormat="0" applyFill="0" applyBorder="0" applyAlignment="0" applyProtection="0"/>
    <xf numFmtId="184" fontId="87" fillId="0" borderId="0" applyNumberFormat="0" applyFill="0" applyBorder="0" applyAlignment="0" applyProtection="0"/>
    <xf numFmtId="182" fontId="87" fillId="0" borderId="0" applyNumberFormat="0" applyFill="0" applyBorder="0" applyAlignment="0" applyProtection="0"/>
    <xf numFmtId="9" fontId="159" fillId="110" borderId="56" applyNumberFormat="0" applyFill="0" applyBorder="0" applyAlignment="0" applyProtection="0">
      <alignment horizontal="center"/>
      <protection locked="0"/>
    </xf>
    <xf numFmtId="9" fontId="159" fillId="110" borderId="56"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00" fillId="0" borderId="0" applyNumberFormat="0" applyFont="0" applyFill="0" applyBorder="0" applyProtection="0">
      <alignment wrapText="1"/>
    </xf>
    <xf numFmtId="190" fontId="100"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7" applyNumberFormat="0" applyFont="0" applyAlignment="0" applyProtection="0"/>
    <xf numFmtId="0" fontId="2" fillId="0" borderId="0"/>
    <xf numFmtId="43"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443">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0" fontId="24" fillId="0" borderId="0" xfId="0" applyFont="1" applyFill="1" applyBorder="1" applyAlignment="1">
      <alignment horizontal="left" indent="1"/>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24" fillId="0" borderId="0" xfId="0" applyFont="1" applyAlignment="1">
      <alignment horizontal="left" indent="1"/>
    </xf>
    <xf numFmtId="0" fontId="0" fillId="0" borderId="0" xfId="0" applyFill="1"/>
    <xf numFmtId="0" fontId="24" fillId="0" borderId="0" xfId="0" applyFont="1" applyFill="1"/>
    <xf numFmtId="0" fontId="0" fillId="0" borderId="0" xfId="0" applyAlignment="1">
      <alignment horizontal="left" indent="1"/>
    </xf>
    <xf numFmtId="0" fontId="24" fillId="0" borderId="0" xfId="28" applyFont="1"/>
    <xf numFmtId="0" fontId="24" fillId="0" borderId="0" xfId="28" applyFont="1" applyBorder="1" applyAlignment="1"/>
    <xf numFmtId="0" fontId="24" fillId="0" borderId="0" xfId="28" applyFont="1" applyBorder="1"/>
    <xf numFmtId="0" fontId="24" fillId="0" borderId="0" xfId="28" applyFont="1" applyBorder="1" applyAlignment="1">
      <alignment horizontal="left"/>
    </xf>
    <xf numFmtId="0" fontId="24" fillId="0" borderId="0" xfId="28" applyNumberFormat="1" applyFont="1" applyFill="1" applyBorder="1" applyAlignment="1">
      <alignment horizontal="left"/>
    </xf>
    <xf numFmtId="0" fontId="22" fillId="0" borderId="0" xfId="28" applyNumberFormat="1" applyFont="1" applyFill="1" applyBorder="1" applyAlignment="1">
      <alignment horizontal="left"/>
    </xf>
    <xf numFmtId="3" fontId="24" fillId="0" borderId="0" xfId="28" applyNumberFormat="1" applyFont="1" applyFill="1" applyBorder="1" applyAlignment="1"/>
    <xf numFmtId="1" fontId="24" fillId="0" borderId="0" xfId="28" applyNumberFormat="1" applyFont="1" applyFill="1" applyBorder="1" applyAlignment="1">
      <alignment horizontal="center"/>
    </xf>
    <xf numFmtId="0" fontId="25" fillId="0" borderId="0" xfId="28" applyFont="1" applyBorder="1" applyAlignment="1">
      <alignment horizontal="center"/>
    </xf>
    <xf numFmtId="0" fontId="22" fillId="0" borderId="0" xfId="28" applyFont="1" applyAlignment="1">
      <alignment horizontal="center"/>
    </xf>
    <xf numFmtId="167" fontId="24" fillId="0" borderId="0" xfId="28" applyNumberFormat="1" applyFont="1" applyFill="1" applyBorder="1" applyAlignment="1">
      <alignment horizontal="right"/>
    </xf>
    <xf numFmtId="167" fontId="24" fillId="0" borderId="0" xfId="20" applyNumberFormat="1" applyFont="1" applyFill="1" applyBorder="1" applyAlignment="1">
      <alignment horizontal="right"/>
    </xf>
    <xf numFmtId="0" fontId="25" fillId="0" borderId="0" xfId="28" applyFont="1" applyFill="1" applyBorder="1" applyAlignment="1">
      <alignment horizontal="center"/>
    </xf>
    <xf numFmtId="3" fontId="24" fillId="0" borderId="0" xfId="28" applyNumberFormat="1" applyFont="1" applyFill="1" applyBorder="1" applyAlignment="1">
      <alignment horizontal="left" indent="1"/>
    </xf>
    <xf numFmtId="0" fontId="25" fillId="0" borderId="0" xfId="28" applyFont="1" applyAlignment="1">
      <alignment horizontal="center"/>
    </xf>
    <xf numFmtId="0" fontId="24" fillId="0" borderId="0" xfId="28" applyFont="1" applyBorder="1" applyAlignment="1">
      <alignment horizontal="right"/>
    </xf>
    <xf numFmtId="164" fontId="24" fillId="0" borderId="0" xfId="20" applyNumberFormat="1" applyFont="1" applyFill="1" applyBorder="1" applyAlignment="1">
      <alignment horizontal="right"/>
    </xf>
    <xf numFmtId="0" fontId="24" fillId="0" borderId="0" xfId="28" applyNumberFormat="1" applyFont="1" applyFill="1" applyBorder="1" applyAlignment="1">
      <alignment horizontal="right"/>
    </xf>
    <xf numFmtId="167" fontId="24" fillId="0" borderId="0" xfId="28" quotePrefix="1" applyNumberFormat="1" applyFont="1" applyFill="1" applyBorder="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0" fontId="26" fillId="35" borderId="0" xfId="0" applyFont="1" applyFill="1" applyBorder="1"/>
    <xf numFmtId="0" fontId="27" fillId="35" borderId="0" xfId="0" applyFont="1" applyFill="1" applyBorder="1"/>
    <xf numFmtId="0" fontId="22" fillId="0" borderId="0" xfId="0" applyFont="1" applyFill="1" applyBorder="1"/>
    <xf numFmtId="0" fontId="24" fillId="0" borderId="0" xfId="0" applyFont="1" applyFill="1" applyBorder="1"/>
    <xf numFmtId="10" fontId="0" fillId="0" borderId="0" xfId="0" applyNumberFormat="1"/>
    <xf numFmtId="0" fontId="0" fillId="34" borderId="0" xfId="0" applyFill="1"/>
    <xf numFmtId="0" fontId="22" fillId="0" borderId="0" xfId="0" applyFont="1" applyFill="1"/>
    <xf numFmtId="0" fontId="28" fillId="0" borderId="0" xfId="0" applyFont="1" applyFill="1"/>
    <xf numFmtId="0" fontId="24" fillId="0" borderId="0" xfId="0" applyFont="1" applyFill="1" applyAlignment="1">
      <alignment horizontal="left" indent="1"/>
    </xf>
    <xf numFmtId="164" fontId="24" fillId="0" borderId="0" xfId="0" applyNumberFormat="1" applyFont="1" applyFill="1"/>
    <xf numFmtId="165" fontId="24" fillId="0" borderId="0" xfId="0" applyNumberFormat="1" applyFont="1" applyFill="1"/>
    <xf numFmtId="165" fontId="28" fillId="0" borderId="0" xfId="0" applyNumberFormat="1" applyFont="1" applyFill="1"/>
    <xf numFmtId="0" fontId="24" fillId="0" borderId="0" xfId="0" applyFont="1" applyAlignment="1">
      <alignment horizontal="left"/>
    </xf>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9" fillId="0" borderId="0" xfId="0" applyNumberFormat="1" applyFont="1"/>
    <xf numFmtId="164" fontId="28" fillId="0" borderId="0" xfId="0" applyNumberFormat="1" applyFont="1" applyAlignment="1">
      <alignment horizontal="right"/>
    </xf>
    <xf numFmtId="164" fontId="24" fillId="0" borderId="0" xfId="0" applyNumberFormat="1" applyFont="1" applyAlignment="1">
      <alignment horizontal="right"/>
    </xf>
    <xf numFmtId="0" fontId="0" fillId="0" borderId="0" xfId="0" applyBorder="1"/>
    <xf numFmtId="0" fontId="0" fillId="0" borderId="0" xfId="0" applyAlignment="1">
      <alignment horizontal="center"/>
    </xf>
    <xf numFmtId="0" fontId="25" fillId="0" borderId="0" xfId="0" applyFont="1" applyBorder="1" applyAlignment="1">
      <alignment horizontal="center"/>
    </xf>
    <xf numFmtId="164" fontId="0" fillId="0" borderId="0" xfId="0" applyNumberFormat="1" applyFill="1"/>
    <xf numFmtId="3" fontId="24" fillId="0" borderId="0" xfId="0" applyNumberFormat="1" applyFont="1" applyFill="1"/>
    <xf numFmtId="0" fontId="0" fillId="0" borderId="0" xfId="0" applyAlignment="1">
      <alignment horizontal="left"/>
    </xf>
    <xf numFmtId="0" fontId="24" fillId="0" borderId="0" xfId="0" applyFont="1" applyFill="1" applyBorder="1" applyAlignment="1">
      <alignment horizontal="left"/>
    </xf>
    <xf numFmtId="165" fontId="0" fillId="0" borderId="0" xfId="0" applyNumberFormat="1" applyFill="1"/>
    <xf numFmtId="0" fontId="22" fillId="0" borderId="0" xfId="0" applyFont="1" applyAlignment="1">
      <alignment horizontal="right"/>
    </xf>
    <xf numFmtId="0" fontId="24" fillId="0" borderId="0" xfId="0" quotePrefix="1" applyFont="1" applyFill="1" applyAlignment="1">
      <alignment horizontal="left" indent="1"/>
    </xf>
    <xf numFmtId="0" fontId="22" fillId="0" borderId="0" xfId="0" applyFont="1" applyAlignment="1">
      <alignment horizontal="left" indent="1"/>
    </xf>
    <xf numFmtId="166" fontId="0" fillId="0" borderId="0" xfId="0" applyNumberFormat="1"/>
    <xf numFmtId="0" fontId="24" fillId="0" borderId="0" xfId="0" applyFont="1" applyFill="1" applyBorder="1" applyAlignment="1">
      <alignment vertical="top"/>
    </xf>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xf numFmtId="0" fontId="28" fillId="0" borderId="0" xfId="0" applyFont="1" applyAlignment="1">
      <alignment horizontal="left"/>
    </xf>
    <xf numFmtId="0" fontId="24" fillId="0" borderId="0" xfId="28" applyFont="1" applyBorder="1" applyAlignment="1">
      <alignment horizontal="left" indent="1"/>
    </xf>
    <xf numFmtId="10" fontId="0" fillId="0" borderId="0" xfId="0" applyNumberFormat="1" applyFill="1"/>
    <xf numFmtId="0" fontId="0" fillId="0" borderId="0" xfId="0" applyFill="1" applyAlignment="1">
      <alignment horizontal="right"/>
    </xf>
    <xf numFmtId="164" fontId="0" fillId="34" borderId="0" xfId="0" applyNumberFormat="1" applyFill="1" applyAlignment="1"/>
    <xf numFmtId="165" fontId="29" fillId="0" borderId="0" xfId="0" applyNumberFormat="1" applyFont="1"/>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Font="1" applyFill="1" applyBorder="1" applyAlignment="1">
      <alignment horizontal="right"/>
    </xf>
    <xf numFmtId="0" fontId="24" fillId="0" borderId="0" xfId="0" applyFont="1" applyBorder="1" applyAlignment="1">
      <alignment vertical="top"/>
    </xf>
    <xf numFmtId="0" fontId="24" fillId="0" borderId="0" xfId="0" applyFont="1" applyAlignment="1">
      <alignment horizontal="center"/>
    </xf>
    <xf numFmtId="172" fontId="0" fillId="34" borderId="0" xfId="0" applyNumberFormat="1" applyFill="1"/>
    <xf numFmtId="164" fontId="24" fillId="0" borderId="0" xfId="0" applyNumberFormat="1" applyFont="1" applyAlignment="1">
      <alignment horizontal="center"/>
    </xf>
    <xf numFmtId="0" fontId="22" fillId="0" borderId="0" xfId="0" applyFont="1" applyAlignment="1">
      <alignment wrapText="1"/>
    </xf>
    <xf numFmtId="164" fontId="28" fillId="0" borderId="0" xfId="0" applyNumberFormat="1" applyFont="1"/>
    <xf numFmtId="0" fontId="24" fillId="0" borderId="0" xfId="0" applyFont="1" applyAlignment="1">
      <alignment horizontal="right"/>
    </xf>
    <xf numFmtId="0" fontId="24" fillId="36" borderId="0" xfId="0" applyFont="1" applyFill="1" applyAlignment="1">
      <alignment horizontal="left" indent="1"/>
    </xf>
    <xf numFmtId="0" fontId="24" fillId="0" borderId="0" xfId="0" quotePrefix="1" applyFont="1" applyAlignment="1">
      <alignment horizontal="center"/>
    </xf>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164" fontId="24" fillId="0" borderId="0" xfId="0" applyNumberFormat="1" applyFont="1"/>
    <xf numFmtId="164" fontId="29" fillId="0" borderId="0" xfId="0" applyNumberFormat="1" applyFont="1" applyFill="1"/>
    <xf numFmtId="0" fontId="22" fillId="0" borderId="0" xfId="0" applyFont="1" applyAlignment="1">
      <alignment horizontal="left" indent="3"/>
    </xf>
    <xf numFmtId="164" fontId="24" fillId="0" borderId="0" xfId="0" quotePrefix="1" applyNumberFormat="1" applyFont="1" applyFill="1" applyAlignment="1">
      <alignment horizontal="right"/>
    </xf>
    <xf numFmtId="164" fontId="24" fillId="0" borderId="0" xfId="0" applyNumberFormat="1" applyFont="1" applyFill="1" applyAlignment="1">
      <alignment horizontal="right"/>
    </xf>
    <xf numFmtId="0" fontId="24" fillId="0" borderId="0" xfId="0" applyFont="1" applyFill="1" applyAlignment="1">
      <alignment horizontal="center"/>
    </xf>
    <xf numFmtId="164" fontId="0" fillId="36" borderId="0" xfId="0" applyNumberFormat="1" applyFill="1"/>
    <xf numFmtId="164" fontId="28" fillId="34" borderId="0" xfId="0" applyNumberFormat="1" applyFont="1" applyFill="1"/>
    <xf numFmtId="168" fontId="24" fillId="0" borderId="0" xfId="20" applyNumberFormat="1" applyFont="1" applyFill="1" applyBorder="1" applyAlignment="1">
      <alignment horizontal="right"/>
    </xf>
    <xf numFmtId="0" fontId="24" fillId="0" borderId="0" xfId="0" applyFont="1" applyFill="1" applyAlignment="1">
      <alignment horizontal="left"/>
    </xf>
    <xf numFmtId="0" fontId="22" fillId="0" borderId="0" xfId="0" applyFont="1" applyFill="1" applyAlignment="1">
      <alignment horizontal="center"/>
    </xf>
    <xf numFmtId="164" fontId="28" fillId="0" borderId="0" xfId="0" applyNumberFormat="1" applyFont="1" applyFill="1"/>
    <xf numFmtId="3" fontId="0" fillId="0" borderId="0" xfId="0" applyNumberFormat="1" applyFill="1"/>
    <xf numFmtId="0" fontId="0" fillId="0" borderId="0" xfId="0" applyFill="1" applyAlignment="1">
      <alignment horizontal="left" indent="1"/>
    </xf>
    <xf numFmtId="0" fontId="24" fillId="0" borderId="0" xfId="0" quotePrefix="1" applyFont="1" applyAlignment="1">
      <alignment horizontal="left" indent="1"/>
    </xf>
    <xf numFmtId="0" fontId="24" fillId="36" borderId="0" xfId="0" applyFont="1" applyFill="1"/>
    <xf numFmtId="164" fontId="28" fillId="36" borderId="0" xfId="0" applyNumberFormat="1" applyFont="1" applyFill="1"/>
    <xf numFmtId="166" fontId="24" fillId="0" borderId="0" xfId="0" applyNumberFormat="1" applyFont="1" applyAlignment="1">
      <alignment horizontal="left" indent="1"/>
    </xf>
    <xf numFmtId="0" fontId="28" fillId="0" borderId="0" xfId="0" applyFont="1" applyAlignment="1">
      <alignment horizontal="center"/>
    </xf>
    <xf numFmtId="164" fontId="29" fillId="36" borderId="0" xfId="0" applyNumberFormat="1" applyFont="1" applyFill="1"/>
    <xf numFmtId="0" fontId="0" fillId="37" borderId="0" xfId="0" applyFill="1"/>
    <xf numFmtId="0" fontId="25" fillId="0" borderId="0" xfId="0" applyFont="1" applyFill="1" applyBorder="1" applyAlignment="1">
      <alignment horizontal="center"/>
    </xf>
    <xf numFmtId="0" fontId="26" fillId="0" borderId="0" xfId="0" applyFont="1" applyFill="1" applyBorder="1"/>
    <xf numFmtId="0" fontId="27" fillId="0" borderId="0" xfId="0" applyFont="1" applyFill="1" applyBorder="1"/>
    <xf numFmtId="0" fontId="25" fillId="0" borderId="0" xfId="0" applyFont="1" applyFill="1" applyAlignment="1">
      <alignment horizontal="center"/>
    </xf>
    <xf numFmtId="168" fontId="24" fillId="0" borderId="0" xfId="0" applyNumberFormat="1" applyFont="1"/>
    <xf numFmtId="0" fontId="32" fillId="0" borderId="0" xfId="34" applyFont="1"/>
    <xf numFmtId="167" fontId="32" fillId="0" borderId="0" xfId="19" applyNumberFormat="1" applyFont="1" applyBorder="1"/>
    <xf numFmtId="0" fontId="32" fillId="0" borderId="0" xfId="34" applyFont="1" applyBorder="1" applyAlignment="1">
      <alignment horizontal="left"/>
    </xf>
    <xf numFmtId="0" fontId="32" fillId="0" borderId="0" xfId="34" applyFont="1" applyBorder="1"/>
    <xf numFmtId="10" fontId="32" fillId="0" borderId="0" xfId="37" applyNumberFormat="1" applyFont="1" applyBorder="1" applyAlignment="1">
      <alignment horizontal="left" indent="3"/>
    </xf>
    <xf numFmtId="0" fontId="32" fillId="0" borderId="0" xfId="34" applyFont="1" applyBorder="1" applyAlignment="1">
      <alignment horizontal="right" wrapText="1"/>
    </xf>
    <xf numFmtId="42" fontId="32" fillId="0" borderId="0" xfId="34" applyNumberFormat="1" applyFont="1"/>
    <xf numFmtId="175" fontId="32" fillId="0" borderId="0" xfId="34" applyNumberFormat="1" applyFont="1"/>
    <xf numFmtId="0" fontId="33" fillId="0" borderId="0" xfId="34" applyFont="1"/>
    <xf numFmtId="0" fontId="33" fillId="0" borderId="0" xfId="34" applyFont="1" applyBorder="1" applyAlignment="1">
      <alignment vertical="center" wrapText="1"/>
    </xf>
    <xf numFmtId="42" fontId="33" fillId="0" borderId="0" xfId="19" applyNumberFormat="1" applyFont="1" applyBorder="1" applyAlignment="1">
      <alignment vertical="center"/>
    </xf>
    <xf numFmtId="171" fontId="33" fillId="0" borderId="0" xfId="37" applyNumberFormat="1" applyFont="1" applyBorder="1" applyAlignment="1">
      <alignment horizontal="center" vertical="center"/>
    </xf>
    <xf numFmtId="164" fontId="32" fillId="0" borderId="0" xfId="19" applyNumberFormat="1" applyFont="1" applyBorder="1"/>
    <xf numFmtId="3" fontId="24" fillId="0" borderId="0" xfId="0" applyNumberFormat="1" applyFont="1"/>
    <xf numFmtId="0" fontId="32" fillId="0" borderId="0" xfId="28" applyFont="1"/>
    <xf numFmtId="164" fontId="0" fillId="0" borderId="0" xfId="0" applyNumberFormat="1" applyAlignment="1">
      <alignment horizontal="right" indent="1"/>
    </xf>
    <xf numFmtId="164" fontId="0" fillId="0" borderId="0" xfId="0" applyNumberFormat="1" applyAlignment="1"/>
    <xf numFmtId="165" fontId="34" fillId="0" borderId="0" xfId="0" applyNumberFormat="1" applyFont="1"/>
    <xf numFmtId="165" fontId="35" fillId="0" borderId="0" xfId="0" applyNumberFormat="1" applyFont="1"/>
    <xf numFmtId="166" fontId="0" fillId="0" borderId="0" xfId="0" applyNumberFormat="1" applyFill="1"/>
    <xf numFmtId="166" fontId="24" fillId="0" borderId="0" xfId="0" applyNumberFormat="1" applyFont="1" applyFill="1" applyAlignment="1">
      <alignment horizontal="left" indent="1"/>
    </xf>
    <xf numFmtId="1" fontId="24" fillId="36" borderId="0" xfId="28" applyNumberFormat="1" applyFont="1" applyFill="1" applyBorder="1" applyAlignment="1">
      <alignment horizontal="center"/>
    </xf>
    <xf numFmtId="165" fontId="24" fillId="0" borderId="0" xfId="0" applyNumberFormat="1" applyFont="1" applyAlignment="1">
      <alignment horizontal="left" indent="1"/>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5" fontId="28" fillId="0" borderId="0" xfId="0" applyNumberFormat="1" applyFont="1"/>
    <xf numFmtId="164" fontId="24" fillId="36" borderId="0" xfId="19" applyNumberFormat="1" applyFont="1" applyFill="1" applyBorder="1"/>
    <xf numFmtId="164" fontId="24" fillId="0" borderId="0" xfId="19" applyNumberFormat="1" applyFont="1" applyBorder="1"/>
    <xf numFmtId="164" fontId="28" fillId="36" borderId="0" xfId="19" applyNumberFormat="1" applyFont="1" applyFill="1" applyBorder="1"/>
    <xf numFmtId="164" fontId="24" fillId="0" borderId="0" xfId="0" applyNumberFormat="1" applyFont="1" applyAlignment="1">
      <alignment horizontal="left" indent="1"/>
    </xf>
    <xf numFmtId="164" fontId="24" fillId="0" borderId="0" xfId="19" applyNumberFormat="1" applyFont="1" applyBorder="1" applyAlignment="1">
      <alignment horizontal="left" indent="1"/>
    </xf>
    <xf numFmtId="10" fontId="24" fillId="0" borderId="0" xfId="37" applyNumberFormat="1" applyFont="1" applyBorder="1" applyAlignment="1">
      <alignment horizontal="center"/>
    </xf>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applyBorder="1"/>
    <xf numFmtId="0" fontId="24" fillId="0" borderId="0" xfId="34" applyFont="1" applyBorder="1" applyAlignment="1">
      <alignment horizontal="left" indent="2"/>
    </xf>
    <xf numFmtId="0" fontId="22" fillId="0" borderId="0" xfId="34" applyFont="1" applyBorder="1" applyAlignment="1">
      <alignment horizontal="left"/>
    </xf>
    <xf numFmtId="0" fontId="22" fillId="0" borderId="0" xfId="34" applyFont="1" applyBorder="1" applyAlignment="1">
      <alignment horizontal="left" wrapText="1"/>
    </xf>
    <xf numFmtId="0" fontId="24" fillId="0" borderId="0" xfId="34" applyFont="1" applyBorder="1" applyAlignment="1">
      <alignment horizontal="left" wrapText="1"/>
    </xf>
    <xf numFmtId="0" fontId="22" fillId="0" borderId="0" xfId="34" applyFont="1" applyBorder="1" applyAlignment="1">
      <alignment vertical="center" wrapText="1"/>
    </xf>
    <xf numFmtId="0" fontId="22" fillId="0" borderId="0" xfId="34" applyFont="1"/>
    <xf numFmtId="0" fontId="22" fillId="0" borderId="0" xfId="34" applyFont="1" applyAlignment="1">
      <alignment horizontal="center"/>
    </xf>
    <xf numFmtId="0" fontId="24" fillId="0" borderId="0" xfId="34" applyFont="1"/>
    <xf numFmtId="0" fontId="24" fillId="36" borderId="0" xfId="34" applyFont="1" applyFill="1"/>
    <xf numFmtId="0" fontId="25" fillId="0" borderId="0" xfId="34" applyFont="1" applyFill="1" applyAlignment="1">
      <alignment horizontal="center"/>
    </xf>
    <xf numFmtId="167" fontId="24" fillId="0" borderId="0" xfId="19" applyNumberFormat="1" applyFont="1" applyBorder="1"/>
    <xf numFmtId="171" fontId="24" fillId="0" borderId="0" xfId="37" applyNumberFormat="1" applyFont="1" applyBorder="1" applyAlignment="1">
      <alignment horizontal="left" indent="3"/>
    </xf>
    <xf numFmtId="0" fontId="24" fillId="0" borderId="0" xfId="34" applyFont="1" applyBorder="1" applyAlignment="1">
      <alignment horizontal="left"/>
    </xf>
    <xf numFmtId="41" fontId="24" fillId="0" borderId="0" xfId="19" applyNumberFormat="1" applyFont="1" applyBorder="1"/>
    <xf numFmtId="41" fontId="24" fillId="0" borderId="0" xfId="34" applyNumberFormat="1" applyFont="1" applyBorder="1"/>
    <xf numFmtId="10" fontId="24" fillId="0" borderId="0" xfId="34" applyNumberFormat="1" applyFont="1" applyBorder="1" applyAlignment="1">
      <alignment horizontal="center"/>
    </xf>
    <xf numFmtId="10" fontId="24" fillId="0" borderId="0" xfId="37" applyNumberFormat="1" applyFont="1" applyFill="1" applyBorder="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Font="1" applyBorder="1" applyAlignment="1">
      <alignment horizontal="right" wrapText="1"/>
    </xf>
    <xf numFmtId="0" fontId="22" fillId="0" borderId="0" xfId="34" applyFont="1" applyBorder="1" applyAlignment="1">
      <alignment horizontal="left" vertical="center" wrapText="1"/>
    </xf>
    <xf numFmtId="0" fontId="53" fillId="36" borderId="0" xfId="34" applyFont="1" applyFill="1"/>
    <xf numFmtId="0" fontId="24" fillId="36" borderId="0" xfId="0" applyFont="1" applyFill="1" applyAlignment="1"/>
    <xf numFmtId="0" fontId="24" fillId="0" borderId="0" xfId="0" quotePrefix="1" applyFont="1" applyAlignment="1">
      <alignment horizontal="center" vertical="justify"/>
    </xf>
    <xf numFmtId="0" fontId="22" fillId="36" borderId="0" xfId="0" applyFont="1" applyFill="1" applyAlignment="1">
      <alignment horizontal="center"/>
    </xf>
    <xf numFmtId="0" fontId="25" fillId="36" borderId="0" xfId="0" applyFont="1" applyFill="1" applyAlignment="1">
      <alignment horizontal="center"/>
    </xf>
    <xf numFmtId="0" fontId="22" fillId="0" borderId="0" xfId="28" applyFont="1" applyFill="1" applyBorder="1" applyAlignment="1">
      <alignment horizontal="left"/>
    </xf>
    <xf numFmtId="1" fontId="24" fillId="0" borderId="0" xfId="28" quotePrefix="1" applyNumberFormat="1" applyFont="1" applyFill="1" applyBorder="1" applyAlignment="1">
      <alignment horizontal="right"/>
    </xf>
    <xf numFmtId="164" fontId="24" fillId="0" borderId="0" xfId="0" quotePrefix="1" applyNumberFormat="1" applyFont="1" applyAlignment="1">
      <alignment horizontal="center"/>
    </xf>
    <xf numFmtId="0" fontId="22" fillId="0" borderId="0" xfId="0" applyFont="1" applyBorder="1" applyAlignment="1">
      <alignment horizontal="center"/>
    </xf>
    <xf numFmtId="0" fontId="22" fillId="0" borderId="3" xfId="0" applyFont="1" applyBorder="1" applyAlignment="1">
      <alignment horizontal="center"/>
    </xf>
    <xf numFmtId="0" fontId="22" fillId="0" borderId="3" xfId="0" applyFont="1" applyFill="1" applyBorder="1" applyAlignment="1">
      <alignment horizontal="center"/>
    </xf>
    <xf numFmtId="0" fontId="22" fillId="0" borderId="3" xfId="0" applyNumberFormat="1" applyFont="1" applyBorder="1" applyAlignment="1">
      <alignment horizontal="center" wrapText="1"/>
    </xf>
    <xf numFmtId="0" fontId="22" fillId="0" borderId="3" xfId="0" applyNumberFormat="1" applyFont="1" applyFill="1" applyBorder="1" applyAlignment="1">
      <alignment wrapText="1"/>
    </xf>
    <xf numFmtId="0" fontId="22" fillId="0" borderId="3" xfId="0" applyNumberFormat="1" applyFont="1" applyBorder="1" applyAlignment="1">
      <alignment wrapText="1"/>
    </xf>
    <xf numFmtId="0" fontId="22" fillId="0" borderId="3" xfId="0" applyFont="1" applyFill="1" applyBorder="1" applyAlignment="1">
      <alignment horizontal="center" wrapText="1"/>
    </xf>
    <xf numFmtId="0" fontId="22" fillId="0" borderId="3" xfId="0" applyFont="1" applyBorder="1" applyAlignment="1">
      <alignment horizontal="center" wrapText="1"/>
    </xf>
    <xf numFmtId="0" fontId="24" fillId="0" borderId="3" xfId="0" quotePrefix="1" applyNumberFormat="1" applyFont="1" applyFill="1" applyBorder="1" applyAlignment="1">
      <alignment horizontal="center"/>
    </xf>
    <xf numFmtId="0" fontId="24" fillId="0" borderId="3" xfId="0" quotePrefix="1" applyNumberFormat="1" applyFont="1" applyFill="1" applyBorder="1" applyAlignment="1">
      <alignment horizontal="left"/>
    </xf>
    <xf numFmtId="0" fontId="24" fillId="0" borderId="3" xfId="0" quotePrefix="1" applyNumberFormat="1" applyFont="1" applyFill="1" applyBorder="1"/>
    <xf numFmtId="0" fontId="24" fillId="0" borderId="3" xfId="0" applyFont="1" applyFill="1" applyBorder="1" applyAlignment="1">
      <alignment horizontal="center"/>
    </xf>
    <xf numFmtId="37" fontId="24" fillId="0" borderId="3" xfId="0" applyNumberFormat="1" applyFont="1" applyFill="1" applyBorder="1" applyAlignment="1">
      <alignment horizontal="center"/>
    </xf>
    <xf numFmtId="0" fontId="24" fillId="0" borderId="3" xfId="0" quotePrefix="1" applyNumberFormat="1" applyFont="1" applyBorder="1" applyAlignment="1">
      <alignment horizontal="center"/>
    </xf>
    <xf numFmtId="0" fontId="24" fillId="0" borderId="3" xfId="0" quotePrefix="1" applyNumberFormat="1" applyFont="1" applyBorder="1"/>
    <xf numFmtId="0" fontId="24" fillId="0" borderId="3" xfId="0" applyFont="1" applyBorder="1" applyAlignment="1">
      <alignment horizontal="center"/>
    </xf>
    <xf numFmtId="0" fontId="22" fillId="0" borderId="0" xfId="0" quotePrefix="1" applyNumberFormat="1" applyFont="1" applyBorder="1" applyAlignment="1">
      <alignment horizontal="center"/>
    </xf>
    <xf numFmtId="0" fontId="22" fillId="0" borderId="0" xfId="0" applyNumberFormat="1" applyFont="1" applyFill="1" applyBorder="1"/>
    <xf numFmtId="0" fontId="22" fillId="0" borderId="0" xfId="0" quotePrefix="1" applyNumberFormat="1" applyFont="1" applyBorder="1"/>
    <xf numFmtId="0" fontId="22" fillId="0" borderId="0" xfId="0" quotePrefix="1" applyNumberFormat="1" applyFont="1" applyFill="1" applyBorder="1"/>
    <xf numFmtId="37" fontId="24" fillId="0" borderId="0" xfId="0" applyNumberFormat="1" applyFont="1" applyFill="1" applyBorder="1" applyAlignment="1">
      <alignment horizontal="center"/>
    </xf>
    <xf numFmtId="0" fontId="24" fillId="0" borderId="0" xfId="0" applyFont="1" applyBorder="1" applyAlignment="1">
      <alignment horizontal="center"/>
    </xf>
    <xf numFmtId="0" fontId="24" fillId="0" borderId="0" xfId="0" quotePrefix="1" applyNumberFormat="1" applyFont="1" applyBorder="1" applyAlignment="1">
      <alignment horizontal="center"/>
    </xf>
    <xf numFmtId="0" fontId="24" fillId="0" borderId="3" xfId="0" applyFont="1" applyFill="1" applyBorder="1"/>
    <xf numFmtId="37" fontId="22" fillId="0" borderId="0" xfId="0" applyNumberFormat="1" applyFont="1" applyFill="1" applyBorder="1" applyAlignment="1">
      <alignment horizontal="center"/>
    </xf>
    <xf numFmtId="0" fontId="24" fillId="0" borderId="3" xfId="0" quotePrefix="1" applyNumberFormat="1" applyFont="1" applyBorder="1" applyAlignment="1">
      <alignment horizontal="left"/>
    </xf>
    <xf numFmtId="0" fontId="24" fillId="0" borderId="3" xfId="0" applyNumberFormat="1" applyFont="1" applyFill="1" applyBorder="1"/>
    <xf numFmtId="0" fontId="24" fillId="0" borderId="3" xfId="0" applyNumberFormat="1" applyFont="1" applyFill="1" applyBorder="1" applyAlignment="1">
      <alignment horizontal="left"/>
    </xf>
    <xf numFmtId="39" fontId="24" fillId="0" borderId="0" xfId="19" applyNumberFormat="1" applyFont="1" applyBorder="1" applyAlignment="1">
      <alignment horizontal="center"/>
    </xf>
    <xf numFmtId="0" fontId="24" fillId="0" borderId="0" xfId="0" applyFont="1" applyFill="1" applyBorder="1" applyAlignment="1">
      <alignment horizontal="center"/>
    </xf>
    <xf numFmtId="39" fontId="24" fillId="0" borderId="0" xfId="19" applyNumberFormat="1" applyFont="1" applyFill="1" applyBorder="1" applyAlignment="1">
      <alignment horizontal="center"/>
    </xf>
    <xf numFmtId="0" fontId="24" fillId="0" borderId="0" xfId="0" applyFont="1" applyBorder="1"/>
    <xf numFmtId="0" fontId="22" fillId="0" borderId="3" xfId="0" applyNumberFormat="1" applyFont="1" applyFill="1" applyBorder="1" applyAlignment="1">
      <alignment horizontal="right"/>
    </xf>
    <xf numFmtId="0" fontId="24" fillId="0" borderId="0" xfId="0" quotePrefix="1" applyNumberFormat="1" applyFont="1" applyBorder="1"/>
    <xf numFmtId="0" fontId="24" fillId="0" borderId="0" xfId="0" quotePrefix="1" applyNumberFormat="1" applyFont="1" applyFill="1" applyBorder="1"/>
    <xf numFmtId="164" fontId="24" fillId="0" borderId="0" xfId="19" applyNumberFormat="1" applyFont="1" applyBorder="1" applyAlignment="1">
      <alignment horizontal="right"/>
    </xf>
    <xf numFmtId="0" fontId="28" fillId="0" borderId="0" xfId="0" applyFont="1" applyBorder="1" applyAlignment="1">
      <alignment horizontal="center"/>
    </xf>
    <xf numFmtId="49" fontId="24" fillId="0" borderId="0" xfId="19" applyNumberFormat="1" applyFont="1" applyBorder="1" applyAlignment="1">
      <alignment horizontal="left" indent="1"/>
    </xf>
    <xf numFmtId="0" fontId="54" fillId="0" borderId="0" xfId="0" applyFont="1"/>
    <xf numFmtId="0" fontId="54" fillId="0" borderId="0" xfId="0" applyFont="1" applyAlignment="1">
      <alignment horizontal="right"/>
    </xf>
    <xf numFmtId="164" fontId="54" fillId="0" borderId="0" xfId="0" applyNumberFormat="1" applyFont="1"/>
    <xf numFmtId="0" fontId="55" fillId="0" borderId="0" xfId="0" applyFont="1" applyAlignment="1">
      <alignment horizontal="center"/>
    </xf>
    <xf numFmtId="164" fontId="54" fillId="0" borderId="0" xfId="0" applyNumberFormat="1" applyFont="1" applyFill="1"/>
    <xf numFmtId="164" fontId="54" fillId="36" borderId="0" xfId="0" applyNumberFormat="1" applyFont="1" applyFill="1"/>
    <xf numFmtId="10" fontId="54" fillId="34" borderId="0" xfId="0" applyNumberFormat="1" applyFont="1" applyFill="1"/>
    <xf numFmtId="164" fontId="54" fillId="0" borderId="0" xfId="0" applyNumberFormat="1" applyFont="1" applyAlignment="1">
      <alignment horizontal="right"/>
    </xf>
    <xf numFmtId="164" fontId="54" fillId="0" borderId="0" xfId="0" quotePrefix="1" applyNumberFormat="1" applyFont="1" applyAlignment="1">
      <alignment horizontal="center"/>
    </xf>
    <xf numFmtId="0" fontId="54" fillId="0" borderId="0" xfId="0" applyFont="1" applyFill="1"/>
    <xf numFmtId="10" fontId="54" fillId="0" borderId="0" xfId="0" applyNumberFormat="1" applyFont="1" applyFill="1"/>
    <xf numFmtId="0" fontId="52" fillId="0" borderId="0" xfId="0" applyFont="1" applyAlignment="1">
      <alignment horizontal="center"/>
    </xf>
    <xf numFmtId="0" fontId="57" fillId="0" borderId="0" xfId="0" applyFont="1" applyAlignment="1">
      <alignment horizontal="center"/>
    </xf>
    <xf numFmtId="166" fontId="54" fillId="0" borderId="0" xfId="0" applyNumberFormat="1" applyFont="1"/>
    <xf numFmtId="164" fontId="54" fillId="34" borderId="0" xfId="0" applyNumberFormat="1" applyFont="1" applyFill="1"/>
    <xf numFmtId="0" fontId="54" fillId="0" borderId="0" xfId="0" applyFont="1" applyAlignment="1">
      <alignment horizontal="left" indent="1"/>
    </xf>
    <xf numFmtId="165" fontId="54" fillId="0" borderId="0" xfId="0" applyNumberFormat="1" applyFont="1"/>
    <xf numFmtId="0" fontId="54"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ont="1" applyFill="1"/>
    <xf numFmtId="0" fontId="22" fillId="0" borderId="0" xfId="28" applyFont="1" applyFill="1" applyBorder="1" applyAlignment="1">
      <alignment horizontal="left" vertical="center"/>
    </xf>
    <xf numFmtId="0" fontId="22" fillId="0" borderId="0" xfId="28" applyFont="1" applyFill="1" applyBorder="1" applyAlignment="1">
      <alignment horizontal="center" vertical="center" wrapText="1"/>
    </xf>
    <xf numFmtId="0" fontId="22" fillId="0" borderId="0" xfId="28" applyFont="1" applyFill="1" applyBorder="1" applyAlignment="1">
      <alignment horizontal="center" vertical="center"/>
    </xf>
    <xf numFmtId="0" fontId="22" fillId="0" borderId="0" xfId="28" applyFont="1" applyFill="1" applyBorder="1" applyAlignment="1">
      <alignment horizontal="center"/>
    </xf>
    <xf numFmtId="0" fontId="22" fillId="0" borderId="0" xfId="28" applyFont="1" applyBorder="1" applyAlignment="1">
      <alignment horizontal="center" vertical="center" wrapText="1"/>
    </xf>
    <xf numFmtId="0" fontId="24" fillId="0" borderId="0" xfId="28" applyFont="1" applyFill="1" applyBorder="1" applyAlignment="1">
      <alignment horizontal="left" vertical="center" indent="1"/>
    </xf>
    <xf numFmtId="164" fontId="24" fillId="0" borderId="0" xfId="28" applyNumberFormat="1" applyFont="1" applyFill="1" applyBorder="1" applyAlignment="1">
      <alignment horizontal="right" vertical="center" wrapText="1"/>
    </xf>
    <xf numFmtId="164" fontId="24" fillId="0" borderId="0" xfId="20" applyNumberFormat="1" applyFont="1" applyFill="1"/>
    <xf numFmtId="164" fontId="24" fillId="0" borderId="0" xfId="28" applyNumberFormat="1" applyFont="1" applyFill="1" applyBorder="1" applyAlignment="1">
      <alignment horizontal="right"/>
    </xf>
    <xf numFmtId="164" fontId="28" fillId="0" borderId="0" xfId="28" applyNumberFormat="1" applyFont="1" applyFill="1" applyBorder="1" applyAlignment="1">
      <alignment horizontal="right" vertical="center" wrapText="1"/>
    </xf>
    <xf numFmtId="164" fontId="28" fillId="0" borderId="0" xfId="20" applyNumberFormat="1" applyFont="1" applyFill="1"/>
    <xf numFmtId="164" fontId="28" fillId="0" borderId="0" xfId="28" applyNumberFormat="1" applyFont="1" applyFill="1" applyBorder="1" applyAlignment="1">
      <alignment horizontal="right"/>
    </xf>
    <xf numFmtId="164" fontId="24" fillId="0" borderId="0" xfId="28" applyNumberFormat="1" applyFont="1" applyFill="1" applyAlignment="1">
      <alignment vertical="center"/>
    </xf>
    <xf numFmtId="0" fontId="24" fillId="0" borderId="0" xfId="28" applyFont="1" applyFill="1"/>
    <xf numFmtId="41" fontId="24" fillId="0" borderId="0" xfId="20" applyNumberFormat="1" applyFont="1" applyFill="1"/>
    <xf numFmtId="41" fontId="24" fillId="0" borderId="0" xfId="28" applyNumberFormat="1" applyFont="1" applyFill="1"/>
    <xf numFmtId="41" fontId="24" fillId="0" borderId="0" xfId="20" applyNumberFormat="1" applyFont="1"/>
    <xf numFmtId="41" fontId="24" fillId="0" borderId="0" xfId="20" applyNumberFormat="1" applyFont="1" applyAlignment="1" applyProtection="1">
      <alignment horizontal="right" indent="2"/>
    </xf>
    <xf numFmtId="0" fontId="22" fillId="0" borderId="0" xfId="28" applyFont="1" applyFill="1"/>
    <xf numFmtId="0" fontId="24" fillId="0" borderId="0" xfId="28" applyFont="1" applyFill="1" applyAlignment="1">
      <alignment horizontal="left" wrapText="1" indent="1"/>
    </xf>
    <xf numFmtId="164" fontId="24" fillId="0" borderId="0" xfId="28" applyNumberFormat="1" applyFont="1" applyFill="1"/>
    <xf numFmtId="41" fontId="36" fillId="0" borderId="0" xfId="20" applyNumberFormat="1" applyFont="1" applyFill="1"/>
    <xf numFmtId="164" fontId="36" fillId="0" borderId="0" xfId="20" applyNumberFormat="1" applyFont="1" applyFill="1"/>
    <xf numFmtId="42" fontId="36" fillId="0" borderId="0" xfId="28" applyNumberFormat="1" applyFont="1"/>
    <xf numFmtId="42" fontId="24" fillId="0" borderId="0" xfId="28" applyNumberFormat="1" applyFont="1"/>
    <xf numFmtId="42" fontId="24" fillId="0" borderId="0" xfId="20" applyNumberFormat="1" applyFont="1" applyBorder="1"/>
    <xf numFmtId="42" fontId="24" fillId="0" borderId="0" xfId="28" applyNumberFormat="1" applyFont="1" applyBorder="1"/>
    <xf numFmtId="164" fontId="24" fillId="0" borderId="0" xfId="20" applyNumberFormat="1" applyFont="1" applyBorder="1"/>
    <xf numFmtId="43" fontId="24" fillId="0" borderId="0" xfId="28" applyNumberFormat="1" applyFont="1"/>
    <xf numFmtId="41" fontId="24" fillId="0" borderId="0" xfId="28" applyNumberFormat="1" applyFont="1"/>
    <xf numFmtId="0" fontId="22" fillId="0" borderId="0" xfId="28" applyFont="1" applyAlignment="1">
      <alignment horizontal="center" wrapText="1"/>
    </xf>
    <xf numFmtId="0" fontId="25" fillId="0" borderId="0" xfId="28" applyFont="1"/>
    <xf numFmtId="164" fontId="24" fillId="0" borderId="0" xfId="28" applyNumberFormat="1" applyFont="1" applyBorder="1"/>
    <xf numFmtId="0" fontId="24" fillId="0" borderId="0" xfId="28" applyFont="1" applyFill="1" applyBorder="1" applyAlignment="1">
      <alignment horizontal="right" vertical="center"/>
    </xf>
    <xf numFmtId="168" fontId="24" fillId="0" borderId="0" xfId="39" applyNumberFormat="1" applyFont="1" applyFill="1" applyBorder="1" applyAlignment="1">
      <alignment vertical="center"/>
    </xf>
    <xf numFmtId="10" fontId="24" fillId="0" borderId="0" xfId="39" applyNumberFormat="1" applyFont="1" applyFill="1" applyBorder="1" applyAlignment="1">
      <alignment vertical="center"/>
    </xf>
    <xf numFmtId="0" fontId="24" fillId="0" borderId="0" xfId="28" applyFont="1" applyFill="1" applyBorder="1"/>
    <xf numFmtId="10" fontId="24" fillId="0" borderId="0" xfId="39" applyNumberFormat="1" applyFont="1" applyFill="1" applyBorder="1"/>
    <xf numFmtId="42" fontId="24" fillId="0" borderId="0" xfId="20" applyNumberFormat="1" applyFont="1" applyFill="1"/>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39" fontId="24" fillId="0" borderId="3" xfId="22" quotePrefix="1" applyNumberFormat="1" applyFont="1" applyFill="1" applyBorder="1" applyAlignment="1">
      <alignment horizontal="center"/>
    </xf>
    <xf numFmtId="176" fontId="22" fillId="0" borderId="3" xfId="22" applyNumberFormat="1"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37" fontId="24" fillId="0" borderId="3" xfId="22" quotePrefix="1" applyNumberFormat="1" applyFont="1" applyFill="1" applyBorder="1" applyAlignment="1">
      <alignment horizontal="center"/>
    </xf>
    <xf numFmtId="39" fontId="24" fillId="0" borderId="0" xfId="22" quotePrefix="1" applyNumberFormat="1" applyFont="1" applyBorder="1" applyAlignment="1">
      <alignment horizontal="center"/>
    </xf>
    <xf numFmtId="176" fontId="24" fillId="0" borderId="0" xfId="22" applyNumberFormat="1" applyFont="1" applyBorder="1" applyAlignment="1">
      <alignment horizontal="center"/>
    </xf>
    <xf numFmtId="0" fontId="24" fillId="0" borderId="3" xfId="22" applyNumberFormat="1" applyFont="1" applyFill="1" applyBorder="1" applyAlignment="1">
      <alignment horizontal="left"/>
    </xf>
    <xf numFmtId="37" fontId="24" fillId="36" borderId="3" xfId="22" quotePrefix="1" applyNumberFormat="1" applyFont="1" applyFill="1" applyBorder="1" applyAlignment="1">
      <alignment horizontal="center"/>
    </xf>
    <xf numFmtId="0" fontId="24" fillId="36" borderId="3" xfId="0" applyFont="1" applyFill="1" applyBorder="1" applyAlignment="1">
      <alignment horizontal="center"/>
    </xf>
    <xf numFmtId="37" fontId="24" fillId="36" borderId="3" xfId="0" applyNumberFormat="1" applyFont="1" applyFill="1" applyBorder="1" applyAlignment="1">
      <alignment horizontal="center"/>
    </xf>
    <xf numFmtId="37" fontId="24" fillId="36" borderId="3" xfId="22" applyNumberFormat="1" applyFont="1" applyFill="1" applyBorder="1" applyAlignment="1">
      <alignment horizontal="center"/>
    </xf>
    <xf numFmtId="39" fontId="24" fillId="36" borderId="3" xfId="22" quotePrefix="1" applyNumberFormat="1" applyFont="1" applyFill="1" applyBorder="1" applyAlignment="1">
      <alignment horizontal="center"/>
    </xf>
    <xf numFmtId="39" fontId="24" fillId="36" borderId="4" xfId="22" quotePrefix="1" applyNumberFormat="1" applyFont="1" applyFill="1" applyBorder="1" applyAlignment="1">
      <alignment horizontal="center"/>
    </xf>
    <xf numFmtId="37" fontId="22" fillId="36" borderId="3" xfId="22" quotePrefix="1" applyNumberFormat="1" applyFont="1" applyFill="1" applyBorder="1" applyAlignment="1">
      <alignment horizontal="center"/>
    </xf>
    <xf numFmtId="177" fontId="24" fillId="36" borderId="3" xfId="22" applyNumberFormat="1" applyFont="1" applyFill="1" applyBorder="1"/>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24" fillId="0" borderId="0" xfId="22" quotePrefix="1" applyNumberFormat="1" applyFont="1" applyFill="1" applyBorder="1" applyAlignment="1">
      <alignment horizontal="center"/>
    </xf>
    <xf numFmtId="39" fontId="53" fillId="0" borderId="0" xfId="22" quotePrefix="1" applyNumberFormat="1" applyFont="1" applyBorder="1" applyAlignment="1">
      <alignment horizontal="center"/>
    </xf>
    <xf numFmtId="39" fontId="24" fillId="0" borderId="3" xfId="22" applyNumberFormat="1" applyFont="1" applyBorder="1" applyAlignment="1">
      <alignment horizontal="center" wrapText="1"/>
    </xf>
    <xf numFmtId="177" fontId="53" fillId="0" borderId="0" xfId="22" applyNumberFormat="1" applyFont="1" applyBorder="1" applyAlignment="1">
      <alignment horizontal="center"/>
    </xf>
    <xf numFmtId="39" fontId="53"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8"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NumberFormat="1" applyFont="1" applyFill="1" applyBorder="1"/>
    <xf numFmtId="0" fontId="22" fillId="37" borderId="0" xfId="0" applyFont="1" applyFill="1" applyBorder="1"/>
    <xf numFmtId="37" fontId="58" fillId="0" borderId="0" xfId="22" quotePrefix="1" applyNumberFormat="1" applyFont="1" applyBorder="1" applyAlignment="1">
      <alignment horizontal="center"/>
    </xf>
    <xf numFmtId="0" fontId="24" fillId="36" borderId="3" xfId="0" quotePrefix="1" applyNumberFormat="1" applyFont="1" applyFill="1" applyBorder="1"/>
    <xf numFmtId="0" fontId="24" fillId="36" borderId="3" xfId="0" quotePrefix="1" applyNumberFormat="1" applyFont="1" applyFill="1" applyBorder="1" applyAlignment="1">
      <alignment horizontal="left"/>
    </xf>
    <xf numFmtId="0" fontId="24" fillId="36" borderId="3" xfId="0" applyNumberFormat="1" applyFont="1" applyFill="1" applyBorder="1"/>
    <xf numFmtId="0" fontId="24" fillId="36" borderId="3" xfId="0" applyNumberFormat="1" applyFont="1" applyFill="1" applyBorder="1" applyAlignment="1">
      <alignment horizontal="left"/>
    </xf>
    <xf numFmtId="0" fontId="24" fillId="36" borderId="3" xfId="22" applyNumberFormat="1" applyFont="1" applyFill="1" applyBorder="1" applyAlignment="1">
      <alignment horizontal="left"/>
    </xf>
    <xf numFmtId="0" fontId="24" fillId="36" borderId="3" xfId="0" quotePrefix="1" applyNumberFormat="1" applyFont="1" applyFill="1" applyBorder="1" applyAlignment="1">
      <alignment horizontal="center"/>
    </xf>
    <xf numFmtId="0" fontId="24" fillId="37" borderId="3" xfId="0" applyFont="1" applyFill="1" applyBorder="1" applyAlignment="1">
      <alignment horizontal="center"/>
    </xf>
    <xf numFmtId="0" fontId="24" fillId="37" borderId="3" xfId="0" applyFont="1" applyFill="1" applyBorder="1"/>
    <xf numFmtId="39" fontId="24" fillId="37" borderId="3" xfId="22" applyNumberFormat="1" applyFont="1" applyFill="1" applyBorder="1" applyAlignment="1">
      <alignment horizontal="center"/>
    </xf>
    <xf numFmtId="0" fontId="22" fillId="37" borderId="3" xfId="0" applyFont="1" applyFill="1" applyBorder="1" applyAlignment="1">
      <alignment horizontal="center"/>
    </xf>
    <xf numFmtId="37" fontId="24" fillId="0" borderId="3" xfId="22" applyNumberFormat="1" applyFont="1" applyFill="1" applyBorder="1" applyAlignment="1">
      <alignment horizontal="center"/>
    </xf>
    <xf numFmtId="39" fontId="24" fillId="0" borderId="3" xfId="22" applyNumberFormat="1" applyFont="1" applyFill="1" applyBorder="1" applyAlignment="1">
      <alignment horizontal="center"/>
    </xf>
    <xf numFmtId="49" fontId="24" fillId="0" borderId="0" xfId="22" applyNumberFormat="1" applyFont="1" applyBorder="1" applyAlignment="1">
      <alignment horizontal="left"/>
    </xf>
    <xf numFmtId="39" fontId="24" fillId="0" borderId="3" xfId="22" applyNumberFormat="1" applyFont="1" applyBorder="1" applyAlignment="1">
      <alignment horizontal="right"/>
    </xf>
    <xf numFmtId="10" fontId="24" fillId="0" borderId="3" xfId="38" applyNumberFormat="1" applyFont="1" applyFill="1" applyBorder="1" applyAlignment="1">
      <alignment horizontal="center"/>
    </xf>
    <xf numFmtId="39" fontId="24" fillId="0" borderId="3" xfId="22" quotePrefix="1" applyNumberFormat="1" applyFont="1" applyBorder="1" applyAlignment="1">
      <alignment horizontal="center"/>
    </xf>
    <xf numFmtId="39" fontId="22" fillId="0" borderId="3" xfId="22" applyNumberFormat="1" applyFont="1" applyFill="1" applyBorder="1" applyAlignment="1">
      <alignment horizontal="right" wrapText="1"/>
    </xf>
    <xf numFmtId="0" fontId="24" fillId="37" borderId="3" xfId="0" quotePrefix="1" applyNumberFormat="1" applyFont="1" applyFill="1" applyBorder="1"/>
    <xf numFmtId="0" fontId="24" fillId="36" borderId="6" xfId="0" applyFont="1" applyFill="1" applyBorder="1" applyAlignment="1"/>
    <xf numFmtId="0" fontId="24" fillId="36" borderId="4" xfId="0" applyFont="1" applyFill="1" applyBorder="1" applyAlignment="1"/>
    <xf numFmtId="0" fontId="24" fillId="36" borderId="3" xfId="0" applyFont="1" applyFill="1" applyBorder="1"/>
    <xf numFmtId="39" fontId="24" fillId="36" borderId="3" xfId="22" applyNumberFormat="1" applyFont="1" applyFill="1" applyBorder="1" applyAlignment="1">
      <alignment horizontal="center"/>
    </xf>
    <xf numFmtId="39" fontId="24" fillId="36" borderId="3" xfId="0" applyNumberFormat="1" applyFont="1" applyFill="1" applyBorder="1" applyAlignment="1">
      <alignment horizontal="center"/>
    </xf>
    <xf numFmtId="0" fontId="22" fillId="36" borderId="3" xfId="0" quotePrefix="1" applyNumberFormat="1" applyFont="1" applyFill="1" applyBorder="1"/>
    <xf numFmtId="39" fontId="22" fillId="36" borderId="3" xfId="22" quotePrefix="1" applyNumberFormat="1" applyFont="1" applyFill="1" applyBorder="1" applyAlignment="1">
      <alignment horizontal="center"/>
    </xf>
    <xf numFmtId="0" fontId="22" fillId="36" borderId="3" xfId="0" applyNumberFormat="1"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7"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0" fontId="25" fillId="0" borderId="0" xfId="0" quotePrefix="1" applyFont="1" applyFill="1" applyAlignment="1">
      <alignment horizontal="center"/>
    </xf>
    <xf numFmtId="164" fontId="22" fillId="0" borderId="0" xfId="0" applyNumberFormat="1" applyFont="1" applyFill="1" applyAlignment="1">
      <alignment horizontal="center"/>
    </xf>
    <xf numFmtId="164" fontId="25" fillId="0" borderId="0" xfId="0" applyNumberFormat="1" applyFont="1" applyFill="1" applyAlignment="1">
      <alignment horizontal="center"/>
    </xf>
    <xf numFmtId="164" fontId="25" fillId="36" borderId="0" xfId="0" applyNumberFormat="1" applyFont="1" applyFill="1" applyAlignment="1">
      <alignment horizontal="center"/>
    </xf>
    <xf numFmtId="0" fontId="24" fillId="0" borderId="0" xfId="0" quotePrefix="1" applyFont="1" applyFill="1" applyAlignment="1">
      <alignment horizontal="center"/>
    </xf>
    <xf numFmtId="0" fontId="24" fillId="0" borderId="0" xfId="0" applyFont="1" applyFill="1" applyAlignment="1">
      <alignment horizontal="right"/>
    </xf>
    <xf numFmtId="164" fontId="28" fillId="0" borderId="0" xfId="0" applyNumberFormat="1" applyFont="1" applyFill="1" applyAlignment="1">
      <alignment horizontal="right"/>
    </xf>
    <xf numFmtId="10" fontId="54" fillId="0" borderId="0" xfId="0" applyNumberFormat="1" applyFont="1"/>
    <xf numFmtId="164" fontId="59" fillId="0" borderId="0" xfId="0" applyNumberFormat="1" applyFont="1"/>
    <xf numFmtId="0" fontId="56" fillId="0" borderId="0" xfId="0" applyFont="1" applyAlignment="1">
      <alignment horizontal="center"/>
    </xf>
    <xf numFmtId="3" fontId="54" fillId="36" borderId="0" xfId="0" applyNumberFormat="1" applyFont="1" applyFill="1"/>
    <xf numFmtId="0" fontId="52" fillId="0" borderId="0" xfId="0" applyFont="1"/>
    <xf numFmtId="10" fontId="60" fillId="0" borderId="0" xfId="0" applyNumberFormat="1" applyFont="1"/>
    <xf numFmtId="0" fontId="30" fillId="0" borderId="0" xfId="27" applyAlignment="1" applyProtection="1"/>
    <xf numFmtId="0" fontId="28" fillId="0" borderId="0" xfId="0" applyFont="1" applyFill="1" applyAlignment="1">
      <alignment horizontal="center"/>
    </xf>
    <xf numFmtId="168" fontId="24" fillId="0" borderId="0" xfId="0" applyNumberFormat="1" applyFont="1" applyFill="1" applyAlignment="1">
      <alignment horizontal="right"/>
    </xf>
    <xf numFmtId="0" fontId="24" fillId="0" borderId="0" xfId="0" applyFont="1" applyFill="1" applyAlignment="1">
      <alignment horizontal="left" indent="2"/>
    </xf>
    <xf numFmtId="0" fontId="0" fillId="0" borderId="0" xfId="0" applyFill="1" applyAlignment="1">
      <alignment horizontal="left" indent="2"/>
    </xf>
    <xf numFmtId="0" fontId="24" fillId="0" borderId="0" xfId="0" applyFont="1" applyFill="1" applyAlignment="1">
      <alignment horizontal="left" indent="3"/>
    </xf>
    <xf numFmtId="166" fontId="54" fillId="0" borderId="0" xfId="0" quotePrefix="1" applyNumberFormat="1" applyFont="1" applyAlignment="1">
      <alignment horizontal="right"/>
    </xf>
    <xf numFmtId="168" fontId="28" fillId="0" borderId="0" xfId="0" applyNumberFormat="1" applyFont="1"/>
    <xf numFmtId="0" fontId="61" fillId="0" borderId="0" xfId="0" applyFont="1" applyAlignment="1">
      <alignment horizontal="center"/>
    </xf>
    <xf numFmtId="164" fontId="42" fillId="0" borderId="0" xfId="0" applyNumberFormat="1" applyFont="1" applyBorder="1"/>
    <xf numFmtId="0" fontId="0" fillId="36" borderId="0" xfId="0" applyFill="1" applyAlignment="1">
      <alignment horizontal="left" indent="1"/>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xf numFmtId="0" fontId="0" fillId="0" borderId="0" xfId="0" quotePrefix="1" applyFont="1" applyFill="1" applyAlignment="1">
      <alignment horizontal="left" indent="1"/>
    </xf>
    <xf numFmtId="0" fontId="22" fillId="0" borderId="0" xfId="0" applyFont="1" applyFill="1" applyAlignment="1">
      <alignment horizontal="left"/>
    </xf>
    <xf numFmtId="0" fontId="25" fillId="0" borderId="0" xfId="0" applyFont="1" applyAlignment="1">
      <alignment horizontal="left" indent="1"/>
    </xf>
    <xf numFmtId="0" fontId="22" fillId="36" borderId="0" xfId="0" applyFont="1" applyFill="1"/>
    <xf numFmtId="0" fontId="0" fillId="36" borderId="0" xfId="0" applyFill="1" applyAlignment="1">
      <alignment horizontal="right"/>
    </xf>
    <xf numFmtId="10" fontId="0" fillId="36" borderId="0" xfId="0" applyNumberFormat="1" applyFill="1" applyAlignment="1">
      <alignment horizontal="right"/>
    </xf>
    <xf numFmtId="168" fontId="54" fillId="0" borderId="0" xfId="0" applyNumberFormat="1" applyFont="1"/>
    <xf numFmtId="0" fontId="0" fillId="0" borderId="8" xfId="0" applyBorder="1" applyAlignment="1">
      <alignment horizontal="center"/>
    </xf>
    <xf numFmtId="164" fontId="0" fillId="0" borderId="0" xfId="0" applyNumberFormat="1" applyAlignment="1">
      <alignment horizontal="right"/>
    </xf>
    <xf numFmtId="0" fontId="55" fillId="0" borderId="0" xfId="0" applyFont="1"/>
    <xf numFmtId="0" fontId="54" fillId="36" borderId="0" xfId="0" applyFont="1" applyFill="1"/>
    <xf numFmtId="164" fontId="59" fillId="36" borderId="0" xfId="0" applyNumberFormat="1" applyFont="1" applyFill="1"/>
    <xf numFmtId="0" fontId="56" fillId="0" borderId="0" xfId="0" applyFont="1"/>
    <xf numFmtId="0" fontId="22" fillId="36" borderId="0" xfId="0" quotePrefix="1" applyFont="1" applyFill="1" applyAlignment="1">
      <alignment vertical="center"/>
    </xf>
    <xf numFmtId="164" fontId="24" fillId="36" borderId="8" xfId="0" applyNumberFormat="1" applyFont="1" applyFill="1" applyBorder="1"/>
    <xf numFmtId="164" fontId="57" fillId="0" borderId="0" xfId="0" applyNumberFormat="1" applyFont="1" applyAlignment="1">
      <alignment horizontal="center"/>
    </xf>
    <xf numFmtId="165" fontId="21" fillId="0" borderId="0" xfId="0" applyNumberFormat="1" applyFont="1" applyFill="1"/>
    <xf numFmtId="37" fontId="22" fillId="0" borderId="3" xfId="22" applyNumberFormat="1" applyFont="1" applyFill="1" applyBorder="1" applyAlignment="1">
      <alignment horizontal="center"/>
    </xf>
    <xf numFmtId="37" fontId="22" fillId="0" borderId="3" xfId="0" applyNumberFormat="1" applyFont="1" applyBorder="1" applyAlignment="1">
      <alignment horizontal="center"/>
    </xf>
    <xf numFmtId="37" fontId="22" fillId="37" borderId="3" xfId="0" applyNumberFormat="1" applyFont="1" applyFill="1" applyBorder="1" applyAlignment="1">
      <alignment horizontal="center"/>
    </xf>
    <xf numFmtId="164" fontId="24" fillId="0" borderId="0" xfId="19" applyNumberFormat="1" applyFont="1" applyBorder="1" applyAlignment="1">
      <alignment horizontal="center"/>
    </xf>
    <xf numFmtId="37" fontId="22" fillId="0" borderId="0" xfId="0" applyNumberFormat="1" applyFont="1" applyBorder="1" applyAlignment="1">
      <alignment horizontal="center"/>
    </xf>
    <xf numFmtId="164" fontId="28" fillId="36" borderId="0" xfId="0" applyNumberFormat="1" applyFont="1" applyFill="1" applyAlignment="1">
      <alignment horizontal="right"/>
    </xf>
    <xf numFmtId="0" fontId="24" fillId="36" borderId="0" xfId="0" applyFont="1" applyFill="1" applyAlignment="1">
      <alignment horizontal="right"/>
    </xf>
    <xf numFmtId="0" fontId="22" fillId="0" borderId="0" xfId="28" applyFont="1" applyAlignment="1">
      <alignment horizontal="left" vertical="center"/>
    </xf>
    <xf numFmtId="0" fontId="51" fillId="0" borderId="0" xfId="28" applyFont="1" applyFill="1" applyAlignment="1">
      <alignment horizontal="left"/>
    </xf>
    <xf numFmtId="0" fontId="51" fillId="0" borderId="0" xfId="28" applyFont="1" applyFill="1" applyAlignment="1">
      <alignment horizontal="center"/>
    </xf>
    <xf numFmtId="0" fontId="51" fillId="0" borderId="0" xfId="28" applyNumberFormat="1" applyFont="1" applyFill="1" applyAlignment="1">
      <alignment horizontal="center"/>
    </xf>
    <xf numFmtId="0" fontId="51" fillId="0" borderId="0" xfId="28" applyFont="1" applyAlignment="1">
      <alignment horizontal="center"/>
    </xf>
    <xf numFmtId="0" fontId="22" fillId="0" borderId="0" xfId="28" applyFont="1" applyAlignment="1">
      <alignment horizontal="left"/>
    </xf>
    <xf numFmtId="0" fontId="51" fillId="36" borderId="0" xfId="28" applyNumberFormat="1"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22" fillId="0" borderId="0" xfId="28" applyFont="1" applyFill="1" applyAlignment="1">
      <alignment horizontal="center" vertical="top"/>
    </xf>
    <xf numFmtId="0" fontId="22" fillId="0" borderId="0" xfId="28" applyNumberFormat="1" applyFont="1" applyFill="1" applyAlignment="1">
      <alignment horizontal="center" vertical="top"/>
    </xf>
    <xf numFmtId="0" fontId="51" fillId="0" borderId="0" xfId="28" applyFont="1" applyAlignment="1">
      <alignment horizontal="center" vertical="top"/>
    </xf>
    <xf numFmtId="0" fontId="22" fillId="0" borderId="0" xfId="28" applyFont="1" applyAlignment="1"/>
    <xf numFmtId="0" fontId="22" fillId="0" borderId="0" xfId="28" applyFont="1" applyFill="1" applyAlignment="1">
      <alignment horizontal="center"/>
    </xf>
    <xf numFmtId="0" fontId="22" fillId="0" borderId="0" xfId="28" applyNumberFormat="1" applyFont="1" applyFill="1" applyAlignment="1">
      <alignment horizontal="center"/>
    </xf>
    <xf numFmtId="0" fontId="25" fillId="0" borderId="0" xfId="0" quotePrefix="1" applyFont="1" applyAlignment="1">
      <alignment horizontal="center" vertical="top"/>
    </xf>
    <xf numFmtId="0" fontId="25" fillId="0" borderId="0" xfId="0" quotePrefix="1" applyNumberFormat="1" applyFont="1" applyAlignment="1">
      <alignment horizontal="center" vertical="top"/>
    </xf>
    <xf numFmtId="0" fontId="22" fillId="0" borderId="0" xfId="28" applyFont="1" applyAlignment="1">
      <alignment horizontal="center" vertical="center"/>
    </xf>
    <xf numFmtId="0" fontId="22" fillId="0" borderId="0" xfId="28" applyFont="1" applyBorder="1" applyAlignment="1"/>
    <xf numFmtId="0" fontId="22" fillId="0" borderId="6" xfId="28" applyNumberFormat="1" applyFont="1" applyFill="1" applyBorder="1" applyAlignment="1">
      <alignment horizontal="center"/>
    </xf>
    <xf numFmtId="0" fontId="22" fillId="0" borderId="3" xfId="28" applyFont="1" applyBorder="1" applyAlignment="1">
      <alignment horizontal="center"/>
    </xf>
    <xf numFmtId="0" fontId="22" fillId="0" borderId="3" xfId="28" applyNumberFormat="1" applyFont="1" applyBorder="1" applyAlignment="1">
      <alignment horizontal="center"/>
    </xf>
    <xf numFmtId="0" fontId="25" fillId="0" borderId="0" xfId="28" applyFont="1" applyBorder="1" applyAlignment="1"/>
    <xf numFmtId="0" fontId="22" fillId="0" borderId="0" xfId="28" applyFont="1" applyBorder="1" applyAlignment="1">
      <alignment horizontal="center"/>
    </xf>
    <xf numFmtId="0" fontId="22" fillId="0" borderId="0" xfId="28" applyNumberFormat="1" applyFont="1" applyBorder="1" applyAlignment="1">
      <alignment horizontal="center"/>
    </xf>
    <xf numFmtId="167" fontId="36" fillId="0" borderId="0" xfId="28" applyNumberFormat="1" applyFont="1" applyFill="1" applyBorder="1"/>
    <xf numFmtId="0" fontId="22" fillId="0" borderId="0" xfId="28" applyFont="1" applyBorder="1"/>
    <xf numFmtId="0" fontId="22" fillId="0" borderId="0" xfId="28" applyFont="1" applyFill="1" applyBorder="1"/>
    <xf numFmtId="0" fontId="25" fillId="0" borderId="0" xfId="28" applyFont="1" applyBorder="1"/>
    <xf numFmtId="167" fontId="22" fillId="0" borderId="0" xfId="28" applyNumberFormat="1" applyFont="1" applyBorder="1" applyAlignment="1">
      <alignment horizontal="center"/>
    </xf>
    <xf numFmtId="167" fontId="22" fillId="0" borderId="0" xfId="28" applyNumberFormat="1" applyFont="1" applyBorder="1"/>
    <xf numFmtId="0" fontId="22" fillId="0" borderId="0" xfId="28" applyFont="1" applyBorder="1" applyAlignment="1">
      <alignment horizontal="right"/>
    </xf>
    <xf numFmtId="0" fontId="22" fillId="0" borderId="0" xfId="28" applyFont="1" applyFill="1" applyBorder="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167" fontId="36" fillId="0" borderId="0" xfId="22" applyNumberFormat="1" applyFont="1" applyFill="1" applyBorder="1" applyAlignment="1">
      <alignment horizontal="center" wrapText="1"/>
    </xf>
    <xf numFmtId="167" fontId="22" fillId="0" borderId="0" xfId="22" applyNumberFormat="1" applyFont="1" applyBorder="1"/>
    <xf numFmtId="0" fontId="25" fillId="0" borderId="0" xfId="28" applyFont="1" applyBorder="1" applyAlignment="1">
      <alignment vertical="top" wrapText="1"/>
    </xf>
    <xf numFmtId="0" fontId="54" fillId="34" borderId="0" xfId="0" applyFont="1" applyFill="1"/>
    <xf numFmtId="0" fontId="55" fillId="0" borderId="0" xfId="0" applyFont="1" applyFill="1" applyAlignment="1">
      <alignment horizontal="center"/>
    </xf>
    <xf numFmtId="0" fontId="56" fillId="0" borderId="0" xfId="0" applyFont="1" applyFill="1" applyAlignment="1">
      <alignment horizontal="center"/>
    </xf>
    <xf numFmtId="0" fontId="54" fillId="0" borderId="0" xfId="0" applyFont="1" applyFill="1" applyAlignment="1">
      <alignment horizontal="center"/>
    </xf>
    <xf numFmtId="0" fontId="54" fillId="0" borderId="0" xfId="0" applyFont="1" applyFill="1" applyAlignment="1">
      <alignment horizontal="left" indent="2"/>
    </xf>
    <xf numFmtId="0" fontId="55" fillId="0" borderId="0" xfId="0" applyFont="1" applyAlignment="1">
      <alignment horizontal="left" indent="1"/>
    </xf>
    <xf numFmtId="0" fontId="55" fillId="0" borderId="0" xfId="0" quotePrefix="1" applyFont="1" applyAlignment="1">
      <alignment horizontal="center"/>
    </xf>
    <xf numFmtId="0" fontId="56" fillId="0" borderId="0" xfId="0" quotePrefix="1" applyFont="1" applyAlignment="1">
      <alignment horizontal="center"/>
    </xf>
    <xf numFmtId="164" fontId="59" fillId="0" borderId="0" xfId="0" applyNumberFormat="1" applyFont="1" applyFill="1"/>
    <xf numFmtId="0" fontId="54" fillId="0" borderId="0" xfId="0" quotePrefix="1" applyFont="1"/>
    <xf numFmtId="0" fontId="56" fillId="0" borderId="0" xfId="0" applyFont="1" applyAlignment="1">
      <alignment horizontal="left"/>
    </xf>
    <xf numFmtId="1" fontId="54" fillId="36" borderId="0" xfId="0" applyNumberFormat="1" applyFont="1" applyFill="1"/>
    <xf numFmtId="174" fontId="54" fillId="0" borderId="0" xfId="0" applyNumberFormat="1" applyFont="1"/>
    <xf numFmtId="0" fontId="54" fillId="0" borderId="0" xfId="0" applyFont="1" applyFill="1" applyAlignment="1">
      <alignment horizontal="left" indent="1"/>
    </xf>
    <xf numFmtId="164" fontId="52" fillId="0" borderId="0" xfId="0" applyNumberFormat="1" applyFont="1" applyAlignment="1">
      <alignment horizontal="center"/>
    </xf>
    <xf numFmtId="0" fontId="22" fillId="0" borderId="0" xfId="0" applyFont="1" applyAlignment="1">
      <alignment horizontal="center"/>
    </xf>
    <xf numFmtId="0" fontId="0" fillId="0" borderId="0" xfId="0" applyAlignment="1">
      <alignment horizontal="center"/>
    </xf>
    <xf numFmtId="0" fontId="25" fillId="0" borderId="0" xfId="28" applyFont="1" applyFill="1" applyAlignment="1">
      <alignment horizontal="center"/>
    </xf>
    <xf numFmtId="0" fontId="22" fillId="0" borderId="0" xfId="0" applyFont="1" applyAlignment="1">
      <alignment horizontal="center"/>
    </xf>
    <xf numFmtId="0" fontId="22" fillId="0" borderId="0" xfId="0" applyFont="1" applyAlignment="1">
      <alignment horizontal="center"/>
    </xf>
    <xf numFmtId="164" fontId="0" fillId="0" borderId="0" xfId="0" applyNumberFormat="1" applyFill="1" applyAlignment="1"/>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xf>
    <xf numFmtId="0" fontId="21" fillId="0" borderId="0" xfId="0" applyFont="1" applyFill="1" applyAlignment="1">
      <alignment horizontal="left" indent="1"/>
    </xf>
    <xf numFmtId="0" fontId="21" fillId="0" borderId="0" xfId="0" applyFont="1"/>
    <xf numFmtId="0" fontId="21" fillId="0" borderId="0" xfId="0" applyFont="1" applyAlignment="1">
      <alignment horizontal="center"/>
    </xf>
    <xf numFmtId="0" fontId="21" fillId="0" borderId="0" xfId="0" applyFont="1" applyFill="1"/>
    <xf numFmtId="164" fontId="21" fillId="0" borderId="0" xfId="0" applyNumberFormat="1" applyFont="1" applyFill="1" applyBorder="1"/>
    <xf numFmtId="0" fontId="21" fillId="0" borderId="0" xfId="0" applyFont="1" applyAlignment="1">
      <alignment horizontal="left" indent="1"/>
    </xf>
    <xf numFmtId="179" fontId="21" fillId="34" borderId="0" xfId="35" applyNumberFormat="1" applyFont="1" applyFill="1" applyAlignment="1">
      <alignment horizontal="left"/>
    </xf>
    <xf numFmtId="179" fontId="21" fillId="0" borderId="0" xfId="35" applyNumberFormat="1" applyFont="1" applyFill="1" applyAlignment="1">
      <alignment horizontal="left"/>
    </xf>
    <xf numFmtId="164" fontId="21" fillId="0" borderId="0" xfId="0" applyNumberFormat="1" applyFont="1"/>
    <xf numFmtId="179" fontId="21" fillId="0" borderId="0" xfId="35" applyNumberFormat="1" applyFont="1" applyFill="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applyFill="1"/>
    <xf numFmtId="10" fontId="0" fillId="0" borderId="0" xfId="37" applyNumberFormat="1" applyFont="1"/>
    <xf numFmtId="0" fontId="21" fillId="0" borderId="0" xfId="28" applyFont="1"/>
    <xf numFmtId="164" fontId="21" fillId="0" borderId="0" xfId="0" applyNumberFormat="1" applyFont="1" applyFill="1"/>
    <xf numFmtId="164" fontId="21" fillId="0" borderId="14" xfId="0" applyNumberFormat="1" applyFont="1" applyFill="1" applyBorder="1"/>
    <xf numFmtId="164" fontId="21" fillId="0" borderId="8" xfId="0" applyNumberFormat="1" applyFont="1" applyFill="1" applyBorder="1"/>
    <xf numFmtId="3" fontId="21" fillId="0" borderId="0" xfId="0" applyNumberFormat="1" applyFont="1" applyFill="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0" fillId="0" borderId="0" xfId="0" applyAlignment="1">
      <alignment horizontal="center"/>
    </xf>
    <xf numFmtId="0" fontId="22" fillId="0" borderId="0" xfId="0" applyFont="1" applyAlignment="1">
      <alignment horizontal="center"/>
    </xf>
    <xf numFmtId="0" fontId="22" fillId="0" borderId="0" xfId="0" applyFont="1" applyAlignment="1">
      <alignment horizontal="center"/>
    </xf>
    <xf numFmtId="0" fontId="21" fillId="0" borderId="0" xfId="0" applyFont="1" applyAlignment="1">
      <alignment horizontal="right" indent="1"/>
    </xf>
    <xf numFmtId="0" fontId="21" fillId="0" borderId="0" xfId="0" applyFont="1" applyAlignment="1">
      <alignment horizontal="left" indent="2"/>
    </xf>
    <xf numFmtId="0" fontId="22" fillId="0" borderId="0" xfId="0" applyFont="1" applyAlignment="1">
      <alignment horizontal="center"/>
    </xf>
    <xf numFmtId="0" fontId="21" fillId="0" borderId="0" xfId="0" quotePrefix="1" applyFont="1" applyAlignment="1">
      <alignment horizontal="center" vertical="justify"/>
    </xf>
    <xf numFmtId="10" fontId="28" fillId="0" borderId="0" xfId="0" applyNumberFormat="1" applyFont="1"/>
    <xf numFmtId="0" fontId="22" fillId="0" borderId="0" xfId="0" applyFont="1" applyAlignment="1">
      <alignment horizontal="center"/>
    </xf>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NumberFormat="1" applyFont="1" applyFill="1" applyBorder="1" applyAlignment="1">
      <alignment horizontal="left"/>
    </xf>
    <xf numFmtId="164" fontId="21" fillId="36" borderId="0" xfId="0" applyNumberFormat="1" applyFont="1" applyFill="1"/>
    <xf numFmtId="0" fontId="21" fillId="0" borderId="0" xfId="28" applyFont="1" applyBorder="1" applyAlignment="1">
      <alignment horizontal="left"/>
    </xf>
    <xf numFmtId="0" fontId="21" fillId="0" borderId="0" xfId="28" applyNumberFormat="1" applyFont="1" applyFill="1" applyBorder="1" applyAlignment="1">
      <alignment horizontal="right"/>
    </xf>
    <xf numFmtId="0" fontId="21" fillId="0" borderId="0" xfId="28" applyFont="1" applyBorder="1"/>
    <xf numFmtId="3" fontId="21" fillId="0" borderId="0" xfId="28" applyNumberFormat="1" applyFont="1" applyFill="1" applyBorder="1" applyAlignment="1">
      <alignment horizontal="left" indent="1"/>
    </xf>
    <xf numFmtId="1" fontId="21" fillId="0" borderId="0" xfId="28" applyNumberFormat="1" applyFont="1" applyFill="1" applyBorder="1" applyAlignment="1">
      <alignment horizontal="center"/>
    </xf>
    <xf numFmtId="37" fontId="21" fillId="0" borderId="0" xfId="36" applyNumberFormat="1" applyFont="1" applyFill="1" applyAlignment="1">
      <alignment horizontal="left" indent="1"/>
    </xf>
    <xf numFmtId="10" fontId="21" fillId="0" borderId="0" xfId="0" applyNumberFormat="1" applyFont="1" applyFill="1"/>
    <xf numFmtId="0" fontId="21" fillId="36" borderId="0" xfId="34" applyFont="1" applyFill="1"/>
    <xf numFmtId="0" fontId="21" fillId="0" borderId="0" xfId="0" quotePrefix="1" applyFont="1" applyAlignment="1"/>
    <xf numFmtId="0" fontId="56" fillId="0" borderId="0" xfId="0" applyFont="1" applyFill="1"/>
    <xf numFmtId="0" fontId="24" fillId="0" borderId="0" xfId="28" applyFont="1" applyFill="1" applyBorder="1" applyAlignment="1"/>
    <xf numFmtId="0" fontId="22" fillId="0" borderId="0" xfId="0" applyFont="1" applyAlignment="1">
      <alignment horizontal="center"/>
    </xf>
    <xf numFmtId="0" fontId="22" fillId="0" borderId="0" xfId="28" applyFont="1" applyBorder="1" applyAlignment="1">
      <alignment horizontal="left"/>
    </xf>
    <xf numFmtId="1" fontId="21" fillId="0" borderId="0" xfId="28" quotePrefix="1" applyNumberFormat="1" applyFont="1" applyFill="1" applyBorder="1" applyAlignment="1">
      <alignment horizontal="right"/>
    </xf>
    <xf numFmtId="164" fontId="21" fillId="0" borderId="0" xfId="0" applyNumberFormat="1" applyFont="1" applyFill="1" applyAlignment="1">
      <alignment horizontal="right"/>
    </xf>
    <xf numFmtId="164" fontId="22" fillId="0" borderId="0" xfId="0" applyNumberFormat="1" applyFont="1" applyFill="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applyFont="1" applyFill="1" applyAlignment="1">
      <alignment horizontal="left" vertical="center"/>
    </xf>
    <xf numFmtId="0" fontId="21" fillId="36" borderId="0" xfId="0" quotePrefix="1" applyFont="1" applyFill="1"/>
    <xf numFmtId="164" fontId="21" fillId="0" borderId="0" xfId="0" applyNumberFormat="1" applyFont="1" applyFill="1" applyAlignment="1">
      <alignment horizontal="left" indent="1"/>
    </xf>
    <xf numFmtId="0" fontId="0" fillId="0" borderId="0" xfId="0" applyFill="1" applyBorder="1"/>
    <xf numFmtId="0" fontId="62" fillId="0" borderId="0" xfId="0" applyFont="1"/>
    <xf numFmtId="37" fontId="54" fillId="0" borderId="0" xfId="0" applyNumberFormat="1" applyFont="1" applyFill="1"/>
    <xf numFmtId="165" fontId="54" fillId="0" borderId="0" xfId="0" applyNumberFormat="1" applyFont="1" applyFill="1"/>
    <xf numFmtId="165" fontId="54" fillId="0" borderId="0" xfId="0" applyNumberFormat="1" applyFont="1" applyFill="1" applyAlignment="1">
      <alignment horizontal="left" indent="1"/>
    </xf>
    <xf numFmtId="164" fontId="56" fillId="0" borderId="0" xfId="0" applyNumberFormat="1" applyFont="1" applyFill="1"/>
    <xf numFmtId="39" fontId="54" fillId="0" borderId="0" xfId="0" applyNumberFormat="1" applyFont="1" applyAlignment="1">
      <alignment horizontal="left" indent="1"/>
    </xf>
    <xf numFmtId="39" fontId="54" fillId="0" borderId="0" xfId="0" applyNumberFormat="1" applyFont="1"/>
    <xf numFmtId="0" fontId="21" fillId="36" borderId="0" xfId="0" quotePrefix="1" applyFont="1" applyFill="1" applyAlignment="1">
      <alignment horizontal="center"/>
    </xf>
    <xf numFmtId="0" fontId="21" fillId="0" borderId="0" xfId="0" quotePrefix="1" applyFont="1" applyFill="1" applyAlignment="1">
      <alignment horizontal="center"/>
    </xf>
    <xf numFmtId="0" fontId="21" fillId="36" borderId="0" xfId="0" applyFont="1" applyFill="1" applyBorder="1" applyProtection="1"/>
    <xf numFmtId="164" fontId="21" fillId="36" borderId="0" xfId="0" applyNumberFormat="1" applyFont="1" applyFill="1" applyBorder="1" applyProtection="1"/>
    <xf numFmtId="170" fontId="21" fillId="0" borderId="0" xfId="0" applyNumberFormat="1" applyFont="1" applyFill="1" applyBorder="1" applyAlignment="1" applyProtection="1">
      <alignment horizontal="center"/>
    </xf>
    <xf numFmtId="0" fontId="21" fillId="0" borderId="0" xfId="0" applyFont="1" applyFill="1" applyBorder="1" applyProtection="1"/>
    <xf numFmtId="164" fontId="21" fillId="0" borderId="0" xfId="0" applyNumberFormat="1" applyFont="1" applyFill="1" applyBorder="1" applyProtection="1"/>
    <xf numFmtId="0" fontId="21" fillId="0" borderId="0" xfId="0" quotePrefix="1" applyFont="1" applyFill="1" applyBorder="1"/>
    <xf numFmtId="0" fontId="21" fillId="0" borderId="0" xfId="0" applyFont="1" applyFill="1" applyBorder="1"/>
    <xf numFmtId="0" fontId="21" fillId="0" borderId="0" xfId="0" applyFont="1" applyAlignment="1">
      <alignment horizontal="left"/>
    </xf>
    <xf numFmtId="164" fontId="28" fillId="0" borderId="0" xfId="28" applyNumberFormat="1" applyFont="1" applyFill="1"/>
    <xf numFmtId="0" fontId="22" fillId="0" borderId="0" xfId="0" applyFont="1" applyFill="1" applyBorder="1" applyAlignment="1">
      <alignment horizontal="center"/>
    </xf>
    <xf numFmtId="37" fontId="21" fillId="0" borderId="0" xfId="0" applyNumberFormat="1" applyFont="1" applyFill="1" applyAlignment="1">
      <alignment horizontal="left" indent="1"/>
    </xf>
    <xf numFmtId="0" fontId="64" fillId="0" borderId="0" xfId="0" applyFont="1"/>
    <xf numFmtId="0" fontId="22" fillId="0" borderId="0" xfId="0" applyFont="1" applyAlignment="1">
      <alignment horizontal="center"/>
    </xf>
    <xf numFmtId="0" fontId="22" fillId="0" borderId="0" xfId="0" applyFont="1" applyAlignment="1">
      <alignment horizontal="center"/>
    </xf>
    <xf numFmtId="0" fontId="26" fillId="0" borderId="0" xfId="0" applyFont="1" applyFill="1"/>
    <xf numFmtId="0" fontId="27" fillId="0" borderId="0" xfId="0" applyFont="1" applyFill="1"/>
    <xf numFmtId="0" fontId="25" fillId="0" borderId="0" xfId="0" applyFont="1" applyFill="1" applyAlignment="1">
      <alignment horizontal="left"/>
    </xf>
    <xf numFmtId="17" fontId="21" fillId="0" borderId="0" xfId="0" quotePrefix="1" applyNumberFormat="1" applyFont="1" applyFill="1" applyAlignment="1">
      <alignment horizontal="center"/>
    </xf>
    <xf numFmtId="0" fontId="21" fillId="0" borderId="0" xfId="0" quotePrefix="1" applyFont="1" applyAlignment="1">
      <alignment horizontal="left" indent="1"/>
    </xf>
    <xf numFmtId="0" fontId="21" fillId="0" borderId="0" xfId="28" quotePrefix="1" applyFont="1" applyFill="1" applyAlignment="1">
      <alignment horizontal="center" vertical="center"/>
    </xf>
    <xf numFmtId="0" fontId="21" fillId="0" borderId="0" xfId="28" quotePrefix="1" applyFont="1" applyFill="1" applyAlignment="1">
      <alignment horizontal="center"/>
    </xf>
    <xf numFmtId="0" fontId="21" fillId="0" borderId="0" xfId="28" quotePrefix="1" applyFont="1" applyBorder="1" applyAlignment="1">
      <alignment horizontal="center"/>
    </xf>
    <xf numFmtId="0" fontId="21" fillId="0" borderId="3" xfId="0" applyFont="1" applyBorder="1" applyAlignment="1">
      <alignment horizontal="center"/>
    </xf>
    <xf numFmtId="0" fontId="21" fillId="0" borderId="3" xfId="0" applyFont="1" applyFill="1" applyBorder="1" applyAlignment="1">
      <alignment horizontal="center"/>
    </xf>
    <xf numFmtId="0" fontId="21" fillId="0" borderId="3" xfId="0" applyFont="1" applyFill="1" applyBorder="1"/>
    <xf numFmtId="39" fontId="21" fillId="0" borderId="3" xfId="22" applyNumberFormat="1" applyFont="1" applyFill="1" applyBorder="1" applyAlignment="1">
      <alignment horizontal="center"/>
    </xf>
    <xf numFmtId="0" fontId="21" fillId="0" borderId="0" xfId="0" applyFont="1" applyFill="1" applyBorder="1" applyAlignment="1">
      <alignment vertical="top"/>
    </xf>
    <xf numFmtId="37" fontId="54" fillId="36" borderId="0" xfId="81" applyNumberFormat="1" applyFont="1" applyFill="1" applyAlignment="1">
      <alignment horizontal="right"/>
    </xf>
    <xf numFmtId="0" fontId="22" fillId="0" borderId="0" xfId="0" applyFont="1" applyAlignment="1">
      <alignment horizontal="center"/>
    </xf>
    <xf numFmtId="6" fontId="0" fillId="0" borderId="0" xfId="0" applyNumberFormat="1"/>
    <xf numFmtId="0" fontId="22" fillId="0" borderId="0" xfId="0" applyFont="1" applyAlignment="1">
      <alignment horizontal="center"/>
    </xf>
    <xf numFmtId="180" fontId="0" fillId="0" borderId="0" xfId="0" applyNumberFormat="1"/>
    <xf numFmtId="0" fontId="22" fillId="0" borderId="0" xfId="0" quotePrefix="1" applyFont="1" applyFill="1" applyAlignment="1">
      <alignment horizontal="right"/>
    </xf>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1" fillId="0" borderId="0" xfId="108" applyFont="1"/>
    <xf numFmtId="0" fontId="25" fillId="0" borderId="0" xfId="108" applyFont="1" applyAlignment="1">
      <alignment horizontal="center"/>
    </xf>
    <xf numFmtId="0" fontId="25" fillId="0" borderId="0" xfId="108" applyFont="1" applyAlignment="1">
      <alignment horizontal="left"/>
    </xf>
    <xf numFmtId="164" fontId="21" fillId="0" borderId="0" xfId="108" applyNumberFormat="1" applyFill="1"/>
    <xf numFmtId="0" fontId="21" fillId="36" borderId="0" xfId="108" applyFont="1" applyFill="1"/>
    <xf numFmtId="164" fontId="21" fillId="36" borderId="0" xfId="108" applyNumberFormat="1" applyFill="1"/>
    <xf numFmtId="164" fontId="28" fillId="36" borderId="0" xfId="108" applyNumberFormat="1" applyFont="1" applyFill="1"/>
    <xf numFmtId="164" fontId="21" fillId="0" borderId="0" xfId="108" applyNumberFormat="1"/>
    <xf numFmtId="0" fontId="21" fillId="0" borderId="0" xfId="108" applyFont="1" applyFill="1"/>
    <xf numFmtId="3" fontId="32" fillId="0" borderId="0" xfId="34" applyNumberFormat="1" applyFont="1" applyBorder="1"/>
    <xf numFmtId="39" fontId="24" fillId="36" borderId="0" xfId="22" applyNumberFormat="1" applyFont="1" applyFill="1" applyBorder="1" applyAlignment="1">
      <alignment horizontal="center"/>
    </xf>
    <xf numFmtId="0" fontId="30" fillId="0" borderId="0" xfId="27" applyAlignment="1" applyProtection="1"/>
    <xf numFmtId="164" fontId="0" fillId="36" borderId="0" xfId="0" applyNumberFormat="1" applyFill="1" applyAlignment="1">
      <alignment horizontal="right"/>
    </xf>
    <xf numFmtId="0" fontId="21" fillId="0" borderId="0" xfId="0" quotePrefix="1" applyFont="1" applyFill="1"/>
    <xf numFmtId="171" fontId="0" fillId="36" borderId="0" xfId="0" applyNumberFormat="1" applyFill="1"/>
    <xf numFmtId="167" fontId="21" fillId="0" borderId="0" xfId="28" applyNumberFormat="1" applyFont="1" applyBorder="1"/>
    <xf numFmtId="0" fontId="69" fillId="0" borderId="0" xfId="0" applyFont="1"/>
    <xf numFmtId="0" fontId="21" fillId="0" borderId="0" xfId="28" applyFont="1" applyFill="1" applyBorder="1" applyAlignment="1" applyProtection="1">
      <alignment horizontal="left" indent="1"/>
      <protection locked="0"/>
    </xf>
    <xf numFmtId="0" fontId="21" fillId="0" borderId="0" xfId="100" applyFill="1"/>
    <xf numFmtId="0" fontId="21" fillId="36" borderId="0" xfId="108" applyFill="1"/>
    <xf numFmtId="0" fontId="21" fillId="0" borderId="0" xfId="100" applyFont="1" applyAlignment="1">
      <alignment horizontal="left" indent="1"/>
    </xf>
    <xf numFmtId="164" fontId="21" fillId="0" borderId="0" xfId="100" applyNumberFormat="1"/>
    <xf numFmtId="164" fontId="53" fillId="0" borderId="0" xfId="100" applyNumberFormat="1" applyFont="1" applyFill="1"/>
    <xf numFmtId="0" fontId="22" fillId="0" borderId="0" xfId="100" applyFont="1"/>
    <xf numFmtId="0" fontId="21" fillId="0" borderId="0" xfId="100" applyFont="1"/>
    <xf numFmtId="0" fontId="22" fillId="0" borderId="0" xfId="100" applyFont="1" applyAlignment="1">
      <alignment horizontal="left" indent="1"/>
    </xf>
    <xf numFmtId="0" fontId="63" fillId="0" borderId="0" xfId="100" applyFont="1" applyBorder="1" applyAlignment="1">
      <alignment horizontal="left"/>
    </xf>
    <xf numFmtId="0" fontId="22" fillId="0" borderId="0" xfId="100" applyFont="1" applyBorder="1" applyAlignment="1">
      <alignment horizontal="center"/>
    </xf>
    <xf numFmtId="0" fontId="21" fillId="0" borderId="0" xfId="100" applyFont="1" applyBorder="1" applyAlignment="1">
      <alignment horizontal="right"/>
    </xf>
    <xf numFmtId="0" fontId="22" fillId="0" borderId="0" xfId="100" applyFont="1" applyBorder="1" applyAlignment="1">
      <alignment horizontal="right"/>
    </xf>
    <xf numFmtId="0" fontId="22" fillId="0" borderId="8" xfId="100" applyFont="1" applyBorder="1" applyAlignment="1">
      <alignment horizontal="center"/>
    </xf>
    <xf numFmtId="0" fontId="21" fillId="36" borderId="0" xfId="100" applyFont="1" applyFill="1"/>
    <xf numFmtId="164" fontId="21" fillId="36" borderId="0" xfId="100" applyNumberFormat="1" applyFont="1" applyFill="1"/>
    <xf numFmtId="170" fontId="21" fillId="0" borderId="0" xfId="100" applyNumberFormat="1" applyFont="1" applyFill="1" applyAlignment="1">
      <alignment horizontal="center"/>
    </xf>
    <xf numFmtId="0" fontId="21" fillId="0" borderId="0" xfId="100" applyFont="1" applyFill="1"/>
    <xf numFmtId="164" fontId="21" fillId="0" borderId="0" xfId="100" applyNumberFormat="1" applyFont="1" applyFill="1"/>
    <xf numFmtId="170" fontId="21" fillId="0" borderId="0" xfId="100" quotePrefix="1" applyNumberFormat="1" applyFont="1" applyFill="1" applyAlignment="1">
      <alignment horizontal="center"/>
    </xf>
    <xf numFmtId="164" fontId="21" fillId="0" borderId="0" xfId="100" applyNumberFormat="1" applyFont="1"/>
    <xf numFmtId="164" fontId="21" fillId="0" borderId="0" xfId="96" applyNumberFormat="1" applyFont="1" applyBorder="1"/>
    <xf numFmtId="164" fontId="21" fillId="0" borderId="0" xfId="96" applyNumberFormat="1" applyFont="1"/>
    <xf numFmtId="168" fontId="21" fillId="0" borderId="0" xfId="96" applyNumberFormat="1" applyFont="1" applyBorder="1"/>
    <xf numFmtId="164" fontId="21" fillId="0" borderId="14" xfId="96" applyNumberFormat="1" applyFont="1" applyBorder="1"/>
    <xf numFmtId="0" fontId="21" fillId="0" borderId="0" xfId="100" quotePrefix="1" applyFont="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0" fontId="21" fillId="0" borderId="0" xfId="100" applyFont="1" applyBorder="1"/>
    <xf numFmtId="164" fontId="22" fillId="0" borderId="0" xfId="100" applyNumberFormat="1" applyFont="1" applyBorder="1" applyAlignment="1">
      <alignment horizontal="center"/>
    </xf>
    <xf numFmtId="164" fontId="22" fillId="0" borderId="8" xfId="100" applyNumberFormat="1" applyFont="1" applyBorder="1" applyAlignment="1">
      <alignment horizontal="center"/>
    </xf>
    <xf numFmtId="0" fontId="25" fillId="0" borderId="0" xfId="100" applyFont="1" applyBorder="1" applyAlignment="1">
      <alignment horizontal="center"/>
    </xf>
    <xf numFmtId="0" fontId="21" fillId="0" borderId="0" xfId="100" applyFont="1" applyBorder="1" applyAlignment="1">
      <alignment horizontal="left"/>
    </xf>
    <xf numFmtId="1" fontId="21" fillId="36" borderId="0" xfId="100" applyNumberFormat="1" applyFont="1" applyFill="1" applyBorder="1" applyAlignment="1">
      <alignment horizontal="center"/>
    </xf>
    <xf numFmtId="164" fontId="21" fillId="0" borderId="0" xfId="0" applyNumberFormat="1" applyFont="1" applyFill="1" applyAlignment="1">
      <alignment horizontal="center"/>
    </xf>
    <xf numFmtId="0" fontId="21" fillId="0" borderId="0" xfId="100" applyNumberFormat="1" applyFont="1" applyFill="1" applyBorder="1" applyAlignment="1">
      <alignment horizontal="left"/>
    </xf>
    <xf numFmtId="1" fontId="21" fillId="0" borderId="0" xfId="100" quotePrefix="1" applyNumberFormat="1" applyFont="1" applyFill="1" applyBorder="1" applyAlignment="1">
      <alignment horizontal="right"/>
    </xf>
    <xf numFmtId="164" fontId="21" fillId="36" borderId="0" xfId="0" quotePrefix="1" applyNumberFormat="1" applyFont="1" applyFill="1" applyAlignment="1">
      <alignment horizontal="center"/>
    </xf>
    <xf numFmtId="164" fontId="21" fillId="0" borderId="0" xfId="0" quotePrefix="1" applyNumberFormat="1" applyFont="1" applyFill="1" applyAlignment="1">
      <alignment horizontal="center"/>
    </xf>
    <xf numFmtId="0" fontId="22" fillId="0" borderId="0" xfId="100" applyFont="1" applyFill="1" applyBorder="1" applyAlignment="1">
      <alignment horizontal="left"/>
    </xf>
    <xf numFmtId="0" fontId="22" fillId="0" borderId="0" xfId="100" applyNumberFormat="1" applyFont="1" applyFill="1" applyBorder="1" applyAlignment="1">
      <alignment horizontal="left"/>
    </xf>
    <xf numFmtId="0" fontId="21" fillId="0" borderId="0" xfId="100"/>
    <xf numFmtId="0" fontId="21" fillId="36" borderId="0" xfId="100" applyFill="1"/>
    <xf numFmtId="0" fontId="25" fillId="0" borderId="0" xfId="100" quotePrefix="1" applyFont="1" applyAlignment="1">
      <alignment horizontal="center"/>
    </xf>
    <xf numFmtId="0" fontId="25" fillId="0" borderId="0" xfId="100" applyFont="1" applyAlignment="1">
      <alignment horizontal="center"/>
    </xf>
    <xf numFmtId="0" fontId="21" fillId="0" borderId="0" xfId="100" quotePrefix="1" applyFont="1" applyAlignment="1">
      <alignment horizontal="center"/>
    </xf>
    <xf numFmtId="0" fontId="21" fillId="0" borderId="0" xfId="100" quotePrefix="1" applyFont="1" applyFill="1" applyAlignment="1">
      <alignment horizontal="center"/>
    </xf>
    <xf numFmtId="0" fontId="21" fillId="0" borderId="0" xfId="100" applyAlignment="1">
      <alignment horizontal="center"/>
    </xf>
    <xf numFmtId="0" fontId="22" fillId="0" borderId="0" xfId="100" applyFont="1" applyAlignment="1">
      <alignment horizontal="center"/>
    </xf>
    <xf numFmtId="0" fontId="22" fillId="0" borderId="0" xfId="100" applyFont="1" applyFill="1" applyAlignment="1">
      <alignment horizontal="center"/>
    </xf>
    <xf numFmtId="0" fontId="25" fillId="0" borderId="0" xfId="100" applyFont="1"/>
    <xf numFmtId="0" fontId="25" fillId="0" borderId="0" xfId="100" applyFont="1" applyFill="1" applyAlignment="1">
      <alignment horizontal="center"/>
    </xf>
    <xf numFmtId="164" fontId="21" fillId="0" borderId="0" xfId="100" applyNumberFormat="1" applyFont="1" applyFill="1" applyAlignme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Font="1" applyAlignment="1">
      <alignment horizontal="left"/>
    </xf>
    <xf numFmtId="0" fontId="21" fillId="0" borderId="0" xfId="100" applyFont="1" applyAlignment="1">
      <alignment horizontal="right" indent="1"/>
    </xf>
    <xf numFmtId="167" fontId="0" fillId="0" borderId="0" xfId="19" applyNumberFormat="1" applyFont="1"/>
    <xf numFmtId="164" fontId="21" fillId="0" borderId="0" xfId="100" applyNumberFormat="1" applyFont="1" applyFill="1" applyAlignment="1">
      <alignment horizontal="right"/>
    </xf>
    <xf numFmtId="164" fontId="21" fillId="36" borderId="0" xfId="100" applyNumberFormat="1" applyFont="1" applyFill="1" applyAlignment="1">
      <alignment horizontal="right"/>
    </xf>
    <xf numFmtId="0" fontId="21" fillId="0" borderId="0" xfId="100" applyAlignment="1">
      <alignment horizontal="left" indent="1"/>
    </xf>
    <xf numFmtId="10" fontId="0" fillId="0" borderId="0" xfId="37" applyNumberFormat="1" applyFont="1" applyAlignment="1">
      <alignment horizontal="center"/>
    </xf>
    <xf numFmtId="10" fontId="25" fillId="0" borderId="0" xfId="100" applyNumberFormat="1" applyFont="1" applyAlignment="1">
      <alignment horizontal="center"/>
    </xf>
    <xf numFmtId="0" fontId="21" fillId="0" borderId="0" xfId="100" applyNumberFormat="1"/>
    <xf numFmtId="10" fontId="21" fillId="0" borderId="0" xfId="37" applyNumberFormat="1" applyAlignment="1">
      <alignment horizontal="center"/>
    </xf>
    <xf numFmtId="0" fontId="22" fillId="0" borderId="0" xfId="100" applyFont="1" applyFill="1"/>
    <xf numFmtId="0" fontId="25" fillId="0" borderId="0" xfId="0" applyNumberFormat="1" applyFont="1" applyFill="1" applyAlignment="1">
      <alignment horizontal="center"/>
    </xf>
    <xf numFmtId="0" fontId="23" fillId="0" borderId="0" xfId="0" applyFont="1" applyAlignment="1">
      <alignment horizontal="center"/>
    </xf>
    <xf numFmtId="0" fontId="22" fillId="0" borderId="0" xfId="0" applyNumberFormat="1" applyFont="1" applyFill="1" applyAlignment="1">
      <alignment horizontal="center"/>
    </xf>
    <xf numFmtId="0" fontId="22" fillId="0" borderId="0" xfId="0" applyNumberFormat="1" applyFont="1" applyFill="1" applyAlignment="1">
      <alignment horizontal="center" wrapText="1"/>
    </xf>
    <xf numFmtId="164" fontId="22" fillId="0" borderId="0" xfId="0" applyNumberFormat="1" applyFont="1" applyFill="1" applyAlignment="1">
      <alignment horizontal="right" indent="1"/>
    </xf>
    <xf numFmtId="0" fontId="0" fillId="0" borderId="0" xfId="0" applyNumberFormat="1" applyFill="1"/>
    <xf numFmtId="0" fontId="22" fillId="0" borderId="0" xfId="0" applyNumberFormat="1" applyFont="1" applyFill="1" applyAlignment="1">
      <alignment horizontal="left" indent="2"/>
    </xf>
    <xf numFmtId="0" fontId="25" fillId="0" borderId="0" xfId="0" quotePrefix="1" applyNumberFormat="1" applyFont="1" applyFill="1" applyAlignment="1">
      <alignment horizontal="center"/>
    </xf>
    <xf numFmtId="0" fontId="21" fillId="0" borderId="0" xfId="0" quotePrefix="1" applyNumberFormat="1" applyFont="1" applyFill="1" applyAlignment="1">
      <alignment horizontal="center" wrapText="1"/>
    </xf>
    <xf numFmtId="0" fontId="21" fillId="0" borderId="0" xfId="0" quotePrefix="1" applyNumberFormat="1" applyFont="1" applyFill="1" applyAlignment="1">
      <alignment horizontal="center"/>
    </xf>
    <xf numFmtId="0" fontId="23" fillId="0" borderId="0" xfId="0" quotePrefix="1" applyNumberFormat="1" applyFont="1" applyFill="1" applyAlignment="1">
      <alignment horizontal="center"/>
    </xf>
    <xf numFmtId="0" fontId="21" fillId="0" borderId="0" xfId="100" quotePrefix="1" applyNumberFormat="1" applyFont="1" applyFill="1" applyBorder="1" applyAlignment="1">
      <alignment horizontal="right"/>
    </xf>
    <xf numFmtId="0" fontId="21" fillId="0" borderId="0" xfId="0" applyNumberFormat="1" applyFont="1" applyFill="1" applyAlignment="1">
      <alignment horizontal="left" indent="1"/>
    </xf>
    <xf numFmtId="0" fontId="22" fillId="0" borderId="0" xfId="100" applyFont="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0" fontId="21" fillId="0" borderId="0" xfId="100" applyAlignment="1">
      <alignment horizontal="center" wrapText="1"/>
    </xf>
    <xf numFmtId="164" fontId="21" fillId="0" borderId="0" xfId="100" quotePrefix="1" applyNumberFormat="1" applyAlignment="1">
      <alignment horizontal="center"/>
    </xf>
    <xf numFmtId="0" fontId="21" fillId="0" borderId="0" xfId="100" quotePrefix="1" applyAlignment="1">
      <alignment horizontal="center" wrapText="1"/>
    </xf>
    <xf numFmtId="0" fontId="21" fillId="0" borderId="0" xfId="100" quotePrefix="1" applyFont="1" applyAlignment="1">
      <alignment horizontal="center" wrapText="1"/>
    </xf>
    <xf numFmtId="10" fontId="21" fillId="0" borderId="0" xfId="37" quotePrefix="1" applyNumberFormat="1" applyFont="1" applyAlignment="1">
      <alignment horizontal="center" wrapText="1"/>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5" fontId="21" fillId="0" borderId="0" xfId="100" applyNumberFormat="1" applyFont="1"/>
    <xf numFmtId="172" fontId="0" fillId="0" borderId="0" xfId="0" applyNumberFormat="1"/>
    <xf numFmtId="0" fontId="21" fillId="36" borderId="0" xfId="0" applyFont="1" applyFill="1" applyAlignment="1">
      <alignment horizontal="center"/>
    </xf>
    <xf numFmtId="0" fontId="22" fillId="0" borderId="0" xfId="108" applyFont="1" applyFill="1"/>
    <xf numFmtId="0" fontId="21" fillId="0" borderId="0" xfId="108" applyFill="1"/>
    <xf numFmtId="0" fontId="25" fillId="0" borderId="0" xfId="108" applyFont="1" applyFill="1"/>
    <xf numFmtId="0" fontId="22" fillId="0" borderId="0" xfId="108" applyFont="1" applyFill="1" applyAlignment="1">
      <alignment horizontal="center"/>
    </xf>
    <xf numFmtId="0" fontId="22" fillId="0" borderId="8" xfId="108" applyFont="1" applyFill="1" applyBorder="1" applyAlignment="1">
      <alignment horizontal="center"/>
    </xf>
    <xf numFmtId="0" fontId="22" fillId="0" borderId="0" xfId="108" applyFont="1" applyFill="1" applyBorder="1" applyAlignment="1">
      <alignment horizontal="center"/>
    </xf>
    <xf numFmtId="0" fontId="22" fillId="0" borderId="8" xfId="108" applyFont="1" applyBorder="1" applyAlignment="1">
      <alignment horizontal="center"/>
    </xf>
    <xf numFmtId="0" fontId="42" fillId="0" borderId="0" xfId="0" applyFont="1"/>
    <xf numFmtId="164" fontId="21" fillId="0" borderId="15" xfId="108" applyNumberFormat="1" applyFill="1" applyBorder="1"/>
    <xf numFmtId="0" fontId="22" fillId="0" borderId="0" xfId="108" quotePrefix="1" applyFont="1" applyFill="1" applyAlignment="1">
      <alignment horizontal="center"/>
    </xf>
    <xf numFmtId="0" fontId="40" fillId="0" borderId="0" xfId="0" applyFont="1" applyFill="1" applyAlignment="1">
      <alignment horizontal="center"/>
    </xf>
    <xf numFmtId="164" fontId="21" fillId="0" borderId="0" xfId="108" applyNumberFormat="1" applyFill="1" applyBorder="1"/>
    <xf numFmtId="164" fontId="21" fillId="0" borderId="8" xfId="108" applyNumberFormat="1" applyFont="1" applyFill="1" applyBorder="1" applyAlignment="1">
      <alignment horizontal="right"/>
    </xf>
    <xf numFmtId="164" fontId="21" fillId="0" borderId="0" xfId="108" applyNumberFormat="1" applyFont="1" applyFill="1" applyBorder="1" applyAlignment="1">
      <alignment horizontal="right"/>
    </xf>
    <xf numFmtId="164" fontId="21" fillId="0" borderId="16" xfId="108" applyNumberFormat="1" applyBorder="1"/>
    <xf numFmtId="0" fontId="21" fillId="0" borderId="0" xfId="108" applyFill="1" applyBorder="1"/>
    <xf numFmtId="0" fontId="0" fillId="0" borderId="0" xfId="0" applyFill="1" applyBorder="1" applyAlignment="1">
      <alignment horizontal="center"/>
    </xf>
    <xf numFmtId="0" fontId="21" fillId="0" borderId="8" xfId="0" applyFont="1" applyBorder="1" applyAlignment="1">
      <alignment horizontal="center"/>
    </xf>
    <xf numFmtId="164" fontId="21" fillId="34" borderId="0" xfId="19" applyNumberFormat="1" applyFont="1" applyFill="1"/>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5" xfId="19" applyNumberFormat="1" applyFont="1" applyBorder="1"/>
    <xf numFmtId="164" fontId="0" fillId="0" borderId="0" xfId="19" applyNumberFormat="1" applyFont="1" applyFill="1" applyBorder="1"/>
    <xf numFmtId="164" fontId="0" fillId="0" borderId="15" xfId="0" applyNumberFormat="1" applyBorder="1"/>
    <xf numFmtId="0" fontId="42" fillId="0" borderId="0" xfId="0" applyFont="1" applyAlignment="1">
      <alignment wrapText="1"/>
    </xf>
    <xf numFmtId="164" fontId="21" fillId="36" borderId="0" xfId="19" applyNumberFormat="1" applyFont="1" applyFill="1" applyBorder="1"/>
    <xf numFmtId="9" fontId="0" fillId="0" borderId="0" xfId="0" applyNumberFormat="1" applyAlignment="1">
      <alignment horizontal="left"/>
    </xf>
    <xf numFmtId="9" fontId="0" fillId="0" borderId="8" xfId="0" applyNumberFormat="1" applyBorder="1"/>
    <xf numFmtId="164" fontId="0" fillId="0" borderId="0" xfId="0" applyNumberFormat="1" applyFill="1" applyBorder="1"/>
    <xf numFmtId="0" fontId="21" fillId="36" borderId="0" xfId="100" quotePrefix="1" applyNumberFormat="1" applyFont="1" applyFill="1" applyBorder="1" applyAlignment="1">
      <alignment horizontal="left"/>
    </xf>
    <xf numFmtId="0" fontId="21" fillId="36" borderId="0" xfId="100" quotePrefix="1" applyFont="1" applyFill="1" applyBorder="1" applyAlignment="1">
      <alignment horizontal="left"/>
    </xf>
    <xf numFmtId="10" fontId="54" fillId="36" borderId="0" xfId="0" applyNumberFormat="1" applyFont="1" applyFill="1"/>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0" fontId="24" fillId="36" borderId="4" xfId="0" applyNumberFormat="1" applyFont="1" applyFill="1" applyBorder="1"/>
    <xf numFmtId="37" fontId="21" fillId="36" borderId="3" xfId="0" applyNumberFormat="1" applyFont="1" applyFill="1" applyBorder="1" applyAlignment="1">
      <alignment horizontal="center"/>
    </xf>
    <xf numFmtId="0" fontId="53" fillId="36" borderId="0" xfId="0" applyFont="1" applyFill="1"/>
    <xf numFmtId="164" fontId="54" fillId="36" borderId="0" xfId="125" applyNumberFormat="1" applyFont="1" applyFill="1" applyBorder="1" applyProtection="1"/>
    <xf numFmtId="164" fontId="21" fillId="36" borderId="0" xfId="125" applyNumberFormat="1" applyFont="1" applyFill="1" applyBorder="1" applyProtection="1"/>
    <xf numFmtId="39" fontId="21" fillId="0" borderId="0" xfId="0" applyNumberFormat="1" applyFont="1" applyFill="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70" fillId="0" borderId="0" xfId="126" applyFont="1"/>
    <xf numFmtId="0" fontId="21" fillId="0" borderId="0" xfId="126" applyFont="1"/>
    <xf numFmtId="0" fontId="21" fillId="0" borderId="0" xfId="126" applyFont="1" applyBorder="1"/>
    <xf numFmtId="0" fontId="21" fillId="0" borderId="0" xfId="126" applyFill="1" applyAlignment="1">
      <alignment horizontal="center"/>
    </xf>
    <xf numFmtId="0" fontId="21" fillId="0" borderId="0" xfId="126"/>
    <xf numFmtId="0" fontId="25" fillId="0" borderId="0" xfId="126" applyFont="1" applyAlignment="1">
      <alignment horizontal="center"/>
    </xf>
    <xf numFmtId="0" fontId="21" fillId="0" borderId="0" xfId="126" applyBorder="1"/>
    <xf numFmtId="0" fontId="22" fillId="0" borderId="0" xfId="126" applyFont="1" applyAlignment="1">
      <alignment horizontal="right"/>
    </xf>
    <xf numFmtId="0" fontId="21" fillId="0" borderId="0" xfId="126" applyFont="1" applyAlignment="1">
      <alignment horizontal="left" indent="1"/>
    </xf>
    <xf numFmtId="0" fontId="22" fillId="34" borderId="0" xfId="127" applyFont="1" applyFill="1"/>
    <xf numFmtId="0" fontId="21" fillId="36" borderId="0" xfId="127" applyFont="1" applyFill="1"/>
    <xf numFmtId="0" fontId="21" fillId="0" borderId="0" xfId="126" applyFill="1"/>
    <xf numFmtId="164" fontId="21" fillId="0" borderId="0" xfId="126" applyNumberFormat="1"/>
    <xf numFmtId="0" fontId="25" fillId="0" borderId="0" xfId="126" quotePrefix="1" applyFont="1" applyAlignment="1">
      <alignment horizontal="center"/>
    </xf>
    <xf numFmtId="0" fontId="21" fillId="0" borderId="0" xfId="126" applyFont="1" applyAlignment="1">
      <alignment horizontal="center"/>
    </xf>
    <xf numFmtId="0" fontId="21" fillId="0" borderId="0" xfId="126" applyAlignment="1"/>
    <xf numFmtId="0" fontId="21" fillId="0" borderId="0" xfId="126" quotePrefix="1" applyFont="1" applyBorder="1" applyAlignment="1">
      <alignment horizontal="center" wrapText="1"/>
    </xf>
    <xf numFmtId="0" fontId="21" fillId="0" borderId="0" xfId="126" applyFill="1" applyAlignment="1"/>
    <xf numFmtId="0" fontId="21" fillId="0" borderId="0" xfId="126" applyAlignment="1">
      <alignment vertical="center" wrapText="1"/>
    </xf>
    <xf numFmtId="0" fontId="25" fillId="0" borderId="0" xfId="126" quotePrefix="1" applyFont="1" applyAlignment="1">
      <alignment horizontal="center" vertical="center" wrapText="1"/>
    </xf>
    <xf numFmtId="0" fontId="21" fillId="0" borderId="6" xfId="126" quotePrefix="1" applyFont="1" applyBorder="1" applyAlignment="1">
      <alignment horizontal="center" vertical="center" wrapText="1"/>
    </xf>
    <xf numFmtId="0" fontId="21" fillId="0" borderId="0" xfId="126" applyFill="1" applyAlignment="1">
      <alignment horizontal="center" vertical="center" wrapText="1"/>
    </xf>
    <xf numFmtId="0" fontId="21" fillId="0" borderId="0" xfId="126" applyFill="1" applyAlignment="1">
      <alignment vertical="center" wrapText="1"/>
    </xf>
    <xf numFmtId="0" fontId="22" fillId="0" borderId="3" xfId="126" applyFont="1" applyFill="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Fill="1" applyBorder="1" applyAlignment="1">
      <alignment horizontal="center"/>
    </xf>
    <xf numFmtId="0" fontId="22" fillId="0" borderId="4" xfId="126" applyFont="1" applyBorder="1" applyAlignment="1">
      <alignment horizontal="center" wrapText="1"/>
    </xf>
    <xf numFmtId="0" fontId="22" fillId="0" borderId="3" xfId="126" applyFont="1" applyBorder="1" applyAlignment="1">
      <alignment horizontal="center" wrapText="1"/>
    </xf>
    <xf numFmtId="0" fontId="22" fillId="0" borderId="0" xfId="126" applyFont="1" applyAlignment="1">
      <alignment horizontal="center"/>
    </xf>
    <xf numFmtId="10" fontId="21" fillId="0" borderId="0" xfId="126" applyNumberFormat="1"/>
    <xf numFmtId="173" fontId="21" fillId="0" borderId="0" xfId="126" applyNumberFormat="1" applyAlignment="1">
      <alignment horizontal="center"/>
    </xf>
    <xf numFmtId="0" fontId="21" fillId="0" borderId="0" xfId="126" quotePrefix="1" applyNumberFormat="1" applyFont="1" applyAlignment="1">
      <alignment horizontal="center"/>
    </xf>
    <xf numFmtId="10" fontId="21" fillId="0" borderId="0" xfId="126" applyNumberFormat="1" applyBorder="1"/>
    <xf numFmtId="166" fontId="21" fillId="0" borderId="0" xfId="126" applyNumberFormat="1"/>
    <xf numFmtId="3" fontId="44" fillId="0" borderId="0" xfId="131" applyNumberFormat="1" applyFill="1" applyBorder="1"/>
    <xf numFmtId="3" fontId="44" fillId="0" borderId="0" xfId="132" applyNumberFormat="1" applyFill="1"/>
    <xf numFmtId="0" fontId="21" fillId="0" borderId="0" xfId="126" applyFill="1" applyBorder="1"/>
    <xf numFmtId="166" fontId="21" fillId="0" borderId="0" xfId="126" applyNumberFormat="1" applyFill="1"/>
    <xf numFmtId="3" fontId="44" fillId="0" borderId="0" xfId="130" applyNumberFormat="1" applyFill="1" applyBorder="1" applyAlignment="1">
      <alignment horizontal="center"/>
    </xf>
    <xf numFmtId="0" fontId="21" fillId="0" borderId="0" xfId="126" applyFill="1" applyBorder="1" applyAlignment="1">
      <alignment horizontal="center"/>
    </xf>
    <xf numFmtId="0" fontId="21" fillId="0" borderId="0" xfId="126" applyAlignment="1">
      <alignment horizontal="left" indent="1"/>
    </xf>
    <xf numFmtId="179" fontId="21" fillId="34" borderId="0" xfId="35" quotePrefix="1" applyNumberFormat="1" applyFont="1" applyFill="1" applyAlignment="1">
      <alignment horizontal="left"/>
    </xf>
    <xf numFmtId="3" fontId="44" fillId="36" borderId="0" xfId="128" applyNumberFormat="1" applyFill="1"/>
    <xf numFmtId="10" fontId="21" fillId="0" borderId="3" xfId="126" applyNumberFormat="1" applyBorder="1"/>
    <xf numFmtId="3" fontId="21" fillId="0" borderId="3" xfId="126" applyNumberFormat="1" applyBorder="1"/>
    <xf numFmtId="0" fontId="21" fillId="0" borderId="0" xfId="126" applyAlignment="1">
      <alignment horizontal="center"/>
    </xf>
    <xf numFmtId="3" fontId="21" fillId="0" borderId="0" xfId="126" applyNumberFormat="1" applyFill="1"/>
    <xf numFmtId="3" fontId="44" fillId="0" borderId="0" xfId="129" applyNumberFormat="1" applyFill="1"/>
    <xf numFmtId="0" fontId="21" fillId="0" borderId="0" xfId="126" applyFont="1" applyAlignment="1">
      <alignment horizontal="center" vertical="center" wrapText="1"/>
    </xf>
    <xf numFmtId="0" fontId="21" fillId="0" borderId="0" xfId="126" quotePrefix="1" applyFont="1" applyAlignment="1">
      <alignment horizontal="center" vertical="center" wrapText="1"/>
    </xf>
    <xf numFmtId="0" fontId="25" fillId="0" borderId="0" xfId="126" quotePrefix="1" applyFont="1" applyBorder="1" applyAlignment="1">
      <alignment horizontal="center"/>
    </xf>
    <xf numFmtId="2" fontId="22" fillId="0" borderId="3" xfId="126" applyNumberFormat="1" applyFont="1" applyFill="1" applyBorder="1" applyAlignment="1">
      <alignment horizontal="center" wrapText="1"/>
    </xf>
    <xf numFmtId="2" fontId="22" fillId="0" borderId="3" xfId="126" applyNumberFormat="1" applyFont="1" applyBorder="1" applyAlignment="1">
      <alignment horizontal="center" wrapText="1"/>
    </xf>
    <xf numFmtId="2" fontId="21" fillId="0" borderId="0" xfId="126" applyNumberFormat="1" applyFont="1" applyAlignment="1">
      <alignment horizontal="center" wrapText="1"/>
    </xf>
    <xf numFmtId="2" fontId="22" fillId="0" borderId="0" xfId="126" applyNumberFormat="1" applyFont="1" applyAlignment="1">
      <alignment horizontal="center"/>
    </xf>
    <xf numFmtId="2" fontId="21" fillId="34" borderId="0" xfId="35" applyNumberFormat="1" applyFont="1" applyFill="1" applyAlignment="1">
      <alignment horizontal="left"/>
    </xf>
    <xf numFmtId="164" fontId="21" fillId="0" borderId="0" xfId="126" applyNumberFormat="1" applyFill="1"/>
    <xf numFmtId="2" fontId="21" fillId="0" borderId="0" xfId="126" applyNumberFormat="1" applyFont="1"/>
    <xf numFmtId="2" fontId="21" fillId="0" borderId="0" xfId="126" applyNumberFormat="1" applyFont="1" applyFill="1" applyAlignment="1">
      <alignment horizontal="center"/>
    </xf>
    <xf numFmtId="179" fontId="70" fillId="0" borderId="0" xfId="35" applyNumberFormat="1" applyFont="1" applyFill="1" applyAlignment="1">
      <alignment horizontal="left"/>
    </xf>
    <xf numFmtId="0" fontId="22" fillId="0" borderId="0" xfId="126" applyFont="1" applyAlignment="1">
      <alignment horizontal="center" vertical="center" wrapText="1"/>
    </xf>
    <xf numFmtId="0" fontId="21" fillId="0" borderId="0" xfId="126" quotePrefix="1" applyFont="1" applyAlignment="1">
      <alignment horizontal="center"/>
    </xf>
    <xf numFmtId="0" fontId="21" fillId="0" borderId="0" xfId="126" applyFont="1" applyFill="1" applyAlignment="1">
      <alignment horizontal="center"/>
    </xf>
    <xf numFmtId="179" fontId="22" fillId="0" borderId="3" xfId="35" applyNumberFormat="1" applyFont="1" applyFill="1" applyBorder="1" applyAlignment="1">
      <alignment horizontal="center"/>
    </xf>
    <xf numFmtId="173" fontId="21" fillId="0" borderId="0" xfId="126" quotePrefix="1" applyNumberFormat="1" applyFill="1" applyAlignment="1">
      <alignment horizontal="center"/>
    </xf>
    <xf numFmtId="164" fontId="21" fillId="0" borderId="0" xfId="126" quotePrefix="1" applyNumberFormat="1" applyFill="1" applyAlignment="1">
      <alignment horizontal="center"/>
    </xf>
    <xf numFmtId="164" fontId="21" fillId="0" borderId="0" xfId="126" applyNumberFormat="1" applyAlignment="1">
      <alignment horizontal="right"/>
    </xf>
    <xf numFmtId="166" fontId="21" fillId="0" borderId="18" xfId="126" applyNumberFormat="1" applyFill="1" applyBorder="1" applyAlignment="1">
      <alignment horizontal="center"/>
    </xf>
    <xf numFmtId="166" fontId="21" fillId="0" borderId="0" xfId="126" quotePrefix="1" applyNumberFormat="1" applyFill="1" applyAlignment="1">
      <alignment horizontal="center"/>
    </xf>
    <xf numFmtId="166" fontId="21" fillId="0" borderId="0" xfId="126" applyNumberFormat="1" applyFill="1" applyAlignment="1">
      <alignment horizontal="center"/>
    </xf>
    <xf numFmtId="173" fontId="21" fillId="0" borderId="0" xfId="126" applyNumberFormat="1" applyFill="1" applyAlignment="1">
      <alignment horizontal="center"/>
    </xf>
    <xf numFmtId="166" fontId="21" fillId="0" borderId="17" xfId="126" applyNumberFormat="1" applyFill="1" applyBorder="1" applyAlignment="1">
      <alignment horizontal="center"/>
    </xf>
    <xf numFmtId="164" fontId="21" fillId="0" borderId="0" xfId="126" applyNumberFormat="1" applyBorder="1"/>
    <xf numFmtId="0" fontId="25" fillId="0" borderId="0" xfId="126" applyFont="1"/>
    <xf numFmtId="0" fontId="21" fillId="0" borderId="0" xfId="126" applyFont="1" applyFill="1"/>
    <xf numFmtId="0" fontId="21" fillId="0" borderId="0" xfId="126" applyAlignment="1">
      <alignment horizontal="left"/>
    </xf>
    <xf numFmtId="0" fontId="22" fillId="0" borderId="6" xfId="126" applyFont="1" applyFill="1" applyBorder="1"/>
    <xf numFmtId="0" fontId="21" fillId="0" borderId="9" xfId="126" applyFont="1" applyFill="1" applyBorder="1"/>
    <xf numFmtId="0" fontId="21" fillId="0" borderId="4" xfId="126" applyFont="1" applyFill="1" applyBorder="1"/>
    <xf numFmtId="179" fontId="21" fillId="36" borderId="0" xfId="35" applyNumberFormat="1" applyFont="1" applyFill="1" applyAlignment="1">
      <alignment horizontal="left"/>
    </xf>
    <xf numFmtId="0" fontId="21" fillId="36" borderId="0" xfId="35" applyFont="1" applyFill="1" applyAlignment="1">
      <alignment horizontal="left" vertical="top" indent="1"/>
    </xf>
    <xf numFmtId="0" fontId="21" fillId="36" borderId="0" xfId="126" applyFont="1" applyFill="1"/>
    <xf numFmtId="0" fontId="21" fillId="36" borderId="0" xfId="126" applyFill="1"/>
    <xf numFmtId="179" fontId="21" fillId="36" borderId="0" xfId="35" quotePrefix="1" applyNumberFormat="1" applyFont="1" applyFill="1" applyAlignment="1">
      <alignment horizontal="left"/>
    </xf>
    <xf numFmtId="0" fontId="25" fillId="0" borderId="0" xfId="126" quotePrefix="1" applyFont="1" applyFill="1" applyAlignment="1">
      <alignment horizontal="center"/>
    </xf>
    <xf numFmtId="0" fontId="22" fillId="0" borderId="0" xfId="126" applyFont="1" applyAlignment="1">
      <alignment horizontal="center" vertical="center"/>
    </xf>
    <xf numFmtId="0" fontId="25" fillId="0" borderId="0" xfId="126" quotePrefix="1" applyFont="1" applyFill="1" applyAlignment="1">
      <alignment horizontal="center" vertical="center" wrapText="1"/>
    </xf>
    <xf numFmtId="0" fontId="21" fillId="0" borderId="0" xfId="126" applyAlignment="1">
      <alignment wrapText="1"/>
    </xf>
    <xf numFmtId="0" fontId="25" fillId="0" borderId="0" xfId="126" quotePrefix="1" applyFont="1" applyAlignment="1">
      <alignment horizontal="center" wrapText="1"/>
    </xf>
    <xf numFmtId="0" fontId="21" fillId="0" borderId="0" xfId="126" quotePrefix="1" applyFont="1" applyAlignment="1">
      <alignment horizontal="center" vertical="top" wrapText="1"/>
    </xf>
    <xf numFmtId="0" fontId="25" fillId="0" borderId="0" xfId="126" quotePrefix="1" applyFont="1" applyFill="1" applyAlignment="1">
      <alignment horizontal="center" wrapText="1"/>
    </xf>
    <xf numFmtId="0" fontId="21" fillId="0" borderId="7" xfId="126" applyFill="1" applyBorder="1"/>
    <xf numFmtId="0" fontId="22" fillId="34" borderId="7" xfId="126" applyFont="1" applyFill="1" applyBorder="1" applyAlignment="1">
      <alignment horizontal="center" wrapText="1"/>
    </xf>
    <xf numFmtId="0" fontId="21" fillId="0" borderId="7" xfId="126" applyBorder="1"/>
    <xf numFmtId="0" fontId="25" fillId="0" borderId="7" xfId="126" quotePrefix="1" applyFont="1" applyBorder="1" applyAlignment="1">
      <alignment horizontal="center"/>
    </xf>
    <xf numFmtId="0" fontId="22" fillId="0" borderId="5" xfId="126" applyFont="1" applyFill="1" applyBorder="1" applyAlignment="1">
      <alignment horizontal="center" wrapText="1"/>
    </xf>
    <xf numFmtId="0" fontId="22" fillId="34" borderId="11" xfId="126" applyFont="1" applyFill="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3" fontId="21" fillId="0" borderId="0" xfId="126" applyNumberFormat="1"/>
    <xf numFmtId="174" fontId="0" fillId="36" borderId="0" xfId="0" applyNumberFormat="1" applyFill="1" applyAlignment="1">
      <alignment horizontal="center"/>
    </xf>
    <xf numFmtId="2" fontId="21" fillId="0" borderId="0" xfId="126" applyNumberFormat="1" applyFont="1" applyBorder="1"/>
    <xf numFmtId="164" fontId="53" fillId="0" borderId="0" xfId="135" applyNumberFormat="1" applyFont="1" applyFill="1"/>
    <xf numFmtId="164" fontId="72" fillId="0" borderId="0" xfId="135" applyNumberFormat="1" applyFont="1" applyFill="1"/>
    <xf numFmtId="164" fontId="28" fillId="0" borderId="0" xfId="0" applyNumberFormat="1" applyFont="1" applyFill="1" applyBorder="1"/>
    <xf numFmtId="0" fontId="23" fillId="0" borderId="0" xfId="0" applyFont="1" applyFill="1" applyAlignment="1">
      <alignment horizontal="center"/>
    </xf>
    <xf numFmtId="164" fontId="58" fillId="0" borderId="0" xfId="135" applyNumberFormat="1" applyFont="1" applyFill="1"/>
    <xf numFmtId="0" fontId="22" fillId="0" borderId="3" xfId="28" applyFont="1" applyFill="1" applyBorder="1" applyAlignment="1">
      <alignment horizontal="center"/>
    </xf>
    <xf numFmtId="0" fontId="21" fillId="0" borderId="0" xfId="28" applyNumberFormat="1" applyFont="1" applyFill="1" applyAlignment="1">
      <alignment horizontal="center" vertical="center"/>
    </xf>
    <xf numFmtId="167" fontId="21" fillId="0" borderId="0" xfId="28" applyNumberFormat="1" applyFont="1" applyFill="1"/>
    <xf numFmtId="43" fontId="21" fillId="0" borderId="0" xfId="0" applyNumberFormat="1" applyFont="1"/>
    <xf numFmtId="0" fontId="21" fillId="0" borderId="0" xfId="0" applyNumberFormat="1" applyFont="1"/>
    <xf numFmtId="0" fontId="21" fillId="0" borderId="0" xfId="28" applyFont="1" applyAlignment="1">
      <alignment horizontal="center"/>
    </xf>
    <xf numFmtId="167" fontId="21" fillId="0" borderId="0" xfId="22" applyNumberFormat="1" applyFont="1"/>
    <xf numFmtId="167" fontId="21" fillId="0" borderId="0" xfId="28" applyNumberFormat="1" applyFont="1"/>
    <xf numFmtId="164" fontId="21" fillId="0" borderId="0" xfId="28" applyNumberFormat="1" applyFont="1" applyFill="1" applyBorder="1"/>
    <xf numFmtId="164" fontId="21" fillId="0" borderId="0" xfId="28" applyNumberFormat="1" applyFont="1" applyBorder="1" applyAlignment="1">
      <alignment horizontal="center"/>
    </xf>
    <xf numFmtId="164" fontId="21" fillId="0" borderId="0" xfId="28" applyNumberFormat="1" applyFont="1" applyFill="1" applyBorder="1" applyAlignment="1">
      <alignment horizontal="center"/>
    </xf>
    <xf numFmtId="0" fontId="21" fillId="36" borderId="0" xfId="28" applyFont="1" applyFill="1"/>
    <xf numFmtId="0" fontId="21" fillId="36" borderId="0" xfId="28" applyNumberFormat="1" applyFont="1" applyFill="1"/>
    <xf numFmtId="167" fontId="21" fillId="36" borderId="0" xfId="28" quotePrefix="1" applyNumberFormat="1" applyFont="1" applyFill="1" applyBorder="1" applyAlignment="1">
      <alignment horizontal="center"/>
    </xf>
    <xf numFmtId="167" fontId="21" fillId="0" borderId="8" xfId="28" applyNumberFormat="1" applyFont="1" applyBorder="1" applyAlignment="1">
      <alignment horizontal="center"/>
    </xf>
    <xf numFmtId="164" fontId="21" fillId="0" borderId="8" xfId="28" applyNumberFormat="1" applyFont="1" applyFill="1" applyBorder="1" applyAlignment="1">
      <alignment horizontal="center"/>
    </xf>
    <xf numFmtId="5" fontId="21" fillId="0" borderId="8" xfId="28" quotePrefix="1" applyNumberFormat="1" applyFont="1" applyFill="1" applyBorder="1" applyAlignment="1">
      <alignment horizontal="right"/>
    </xf>
    <xf numFmtId="5" fontId="21" fillId="0" borderId="8" xfId="28" applyNumberFormat="1" applyFont="1" applyBorder="1"/>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applyAlignment="1">
      <alignment horizontal="center"/>
    </xf>
    <xf numFmtId="164" fontId="21" fillId="0" borderId="0" xfId="22" applyNumberFormat="1" applyFont="1" applyBorder="1"/>
    <xf numFmtId="0" fontId="21" fillId="0" borderId="0" xfId="28" applyFont="1" applyFill="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Border="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0" xfId="28" applyNumberFormat="1" applyFont="1" applyFill="1" applyBorder="1"/>
    <xf numFmtId="167" fontId="21" fillId="0" borderId="8" xfId="28" applyNumberFormat="1" applyFont="1" applyFill="1" applyBorder="1" applyAlignment="1">
      <alignment horizontal="center"/>
    </xf>
    <xf numFmtId="167" fontId="21" fillId="0" borderId="8" xfId="28" quotePrefix="1" applyNumberFormat="1" applyFont="1" applyFill="1" applyBorder="1" applyAlignment="1">
      <alignment horizontal="center"/>
    </xf>
    <xf numFmtId="167" fontId="21" fillId="0" borderId="8" xfId="28" applyNumberFormat="1" applyFont="1" applyBorder="1"/>
    <xf numFmtId="0" fontId="21" fillId="0" borderId="0" xfId="22" applyNumberFormat="1" applyFont="1" applyFill="1" applyBorder="1"/>
    <xf numFmtId="0" fontId="21" fillId="0" borderId="0" xfId="28" applyNumberFormat="1" applyFont="1" applyFill="1" applyBorder="1"/>
    <xf numFmtId="0" fontId="21" fillId="0" borderId="0" xfId="28" applyFont="1" applyBorder="1" applyAlignment="1">
      <alignment horizontal="center"/>
    </xf>
    <xf numFmtId="167" fontId="21" fillId="0" borderId="0" xfId="28" applyNumberFormat="1" applyFont="1" applyFill="1" applyBorder="1" applyAlignment="1"/>
    <xf numFmtId="164" fontId="21" fillId="0" borderId="0" xfId="28" applyNumberFormat="1" applyFont="1" applyFill="1" applyBorder="1" applyAlignment="1">
      <alignment vertical="top" wrapText="1"/>
    </xf>
    <xf numFmtId="167" fontId="21" fillId="0" borderId="0" xfId="22" applyNumberFormat="1" applyFont="1" applyFill="1" applyBorder="1" applyAlignment="1">
      <alignment horizontal="center" wrapText="1"/>
    </xf>
    <xf numFmtId="0" fontId="21" fillId="0" borderId="0" xfId="0" quotePrefix="1" applyFont="1" applyFill="1" applyAlignment="1"/>
    <xf numFmtId="167" fontId="21" fillId="0" borderId="0" xfId="22" applyNumberFormat="1" applyFont="1" applyFill="1" applyBorder="1" applyAlignment="1"/>
    <xf numFmtId="167" fontId="21" fillId="0" borderId="8" xfId="28" applyNumberFormat="1" applyFont="1" applyFill="1" applyBorder="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Border="1" applyAlignment="1">
      <alignment vertical="justify"/>
    </xf>
    <xf numFmtId="0" fontId="21" fillId="0" borderId="0" xfId="28" applyNumberFormat="1" applyFont="1" applyFill="1"/>
    <xf numFmtId="0" fontId="21" fillId="0" borderId="0" xfId="28" applyFont="1" applyFill="1" applyBorder="1" applyAlignment="1">
      <alignment vertical="top"/>
    </xf>
    <xf numFmtId="0" fontId="21" fillId="0" borderId="0" xfId="28" applyFont="1" applyFill="1" applyAlignment="1">
      <alignment horizontal="center"/>
    </xf>
    <xf numFmtId="167" fontId="21" fillId="0" borderId="0" xfId="22" applyNumberFormat="1" applyFont="1" applyFill="1"/>
    <xf numFmtId="0" fontId="21" fillId="0" borderId="0" xfId="28" applyFont="1" applyFill="1" applyBorder="1" applyAlignment="1">
      <alignment vertical="top" wrapText="1"/>
    </xf>
    <xf numFmtId="0" fontId="21" fillId="0" borderId="0" xfId="28" applyFont="1" applyFill="1" applyBorder="1" applyAlignment="1" applyProtection="1">
      <alignment horizontal="left" vertical="top" indent="1"/>
      <protection locked="0"/>
    </xf>
    <xf numFmtId="0" fontId="21" fillId="36" borderId="0" xfId="28" applyFont="1" applyFill="1" applyAlignment="1">
      <alignment horizontal="center"/>
    </xf>
    <xf numFmtId="167" fontId="21" fillId="36" borderId="0" xfId="22" applyNumberFormat="1" applyFont="1" applyFill="1"/>
    <xf numFmtId="0" fontId="21" fillId="0" borderId="0" xfId="28" applyFont="1" applyFill="1" applyAlignment="1">
      <alignment horizontal="left" indent="1"/>
    </xf>
    <xf numFmtId="165" fontId="21" fillId="0" borderId="0" xfId="28" applyNumberFormat="1" applyFont="1" applyFill="1"/>
    <xf numFmtId="0" fontId="25" fillId="0" borderId="0" xfId="0" applyFont="1" applyFill="1"/>
    <xf numFmtId="10" fontId="21" fillId="0" borderId="0" xfId="0" applyNumberFormat="1" applyFont="1"/>
    <xf numFmtId="0" fontId="22" fillId="0" borderId="3" xfId="28" applyFont="1" applyFill="1" applyBorder="1" applyAlignment="1">
      <alignment horizontal="center"/>
    </xf>
    <xf numFmtId="0" fontId="24" fillId="0" borderId="6" xfId="0" applyFont="1" applyFill="1" applyBorder="1" applyAlignment="1">
      <alignment horizontal="left"/>
    </xf>
    <xf numFmtId="0" fontId="21" fillId="36" borderId="0" xfId="100" applyFill="1" applyAlignment="1">
      <alignment horizontal="center"/>
    </xf>
    <xf numFmtId="0" fontId="0" fillId="0" borderId="0" xfId="0" applyFill="1" applyAlignment="1">
      <alignment horizontal="center"/>
    </xf>
    <xf numFmtId="0" fontId="0" fillId="0" borderId="0" xfId="0" applyFill="1" applyAlignment="1">
      <alignment horizontal="left"/>
    </xf>
    <xf numFmtId="0" fontId="21" fillId="0" borderId="0" xfId="0" applyFont="1" applyFill="1" applyAlignment="1">
      <alignment horizontal="left"/>
    </xf>
    <xf numFmtId="0" fontId="21" fillId="0" borderId="0" xfId="0" applyFont="1" applyFill="1" applyAlignment="1">
      <alignment horizontal="right"/>
    </xf>
    <xf numFmtId="0" fontId="21" fillId="0" borderId="0" xfId="0" quotePrefix="1" applyFont="1" applyFill="1" applyAlignment="1">
      <alignment horizontal="right"/>
    </xf>
    <xf numFmtId="168" fontId="0" fillId="0" borderId="0" xfId="0" applyNumberFormat="1" applyFill="1"/>
    <xf numFmtId="0" fontId="21" fillId="0" borderId="0" xfId="0" applyFont="1" applyFill="1" applyAlignment="1">
      <alignment horizontal="left" indent="2"/>
    </xf>
    <xf numFmtId="0" fontId="21" fillId="0" borderId="0" xfId="0" quotePrefix="1" applyFont="1" applyFill="1" applyAlignment="1">
      <alignment horizontal="left" indent="2"/>
    </xf>
    <xf numFmtId="0" fontId="21" fillId="0" borderId="0" xfId="0" applyFont="1" applyFill="1" applyAlignment="1">
      <alignment horizontal="left" indent="3"/>
    </xf>
    <xf numFmtId="0" fontId="54" fillId="0" borderId="0" xfId="0" applyFont="1" applyFill="1" applyAlignment="1">
      <alignment horizontal="left"/>
    </xf>
    <xf numFmtId="0" fontId="21" fillId="0" borderId="0" xfId="0" quotePrefix="1" applyFont="1" applyFill="1" applyAlignment="1">
      <alignment horizontal="left" indent="1"/>
    </xf>
    <xf numFmtId="0" fontId="28" fillId="0" borderId="0" xfId="0" applyFont="1" applyFill="1" applyAlignment="1">
      <alignment horizontal="left"/>
    </xf>
    <xf numFmtId="0" fontId="24" fillId="0" borderId="0" xfId="28" applyFont="1" applyFill="1" applyBorder="1" applyAlignment="1">
      <alignment horizontal="left" indent="1"/>
    </xf>
    <xf numFmtId="0" fontId="22" fillId="0" borderId="0" xfId="0" applyNumberFormat="1" applyFont="1" applyFill="1" applyAlignment="1">
      <alignment horizontal="left"/>
    </xf>
    <xf numFmtId="0" fontId="21" fillId="0" borderId="0" xfId="0" applyFont="1" applyFill="1" applyAlignment="1"/>
    <xf numFmtId="0" fontId="22" fillId="0" borderId="0" xfId="0" quotePrefix="1" applyFont="1" applyFill="1" applyAlignment="1">
      <alignment horizontal="center"/>
    </xf>
    <xf numFmtId="10" fontId="21" fillId="0" borderId="0" xfId="0" quotePrefix="1" applyNumberFormat="1" applyFont="1" applyFill="1" applyAlignment="1">
      <alignment horizontal="right"/>
    </xf>
    <xf numFmtId="3" fontId="0" fillId="0" borderId="0" xfId="0" applyNumberFormat="1" applyFill="1" applyAlignment="1">
      <alignment horizontal="center"/>
    </xf>
    <xf numFmtId="0" fontId="53" fillId="0" borderId="0" xfId="0" applyFont="1" applyFill="1"/>
    <xf numFmtId="0" fontId="55" fillId="36" borderId="0" xfId="0" quotePrefix="1" applyFont="1" applyFill="1" applyAlignment="1">
      <alignment horizontal="center"/>
    </xf>
    <xf numFmtId="0" fontId="54" fillId="0" borderId="0" xfId="0" applyFont="1" applyFill="1" applyAlignment="1">
      <alignment horizontal="right"/>
    </xf>
    <xf numFmtId="0" fontId="67" fillId="0" borderId="0" xfId="0" applyFont="1" applyFill="1" applyAlignment="1">
      <alignment horizontal="left" vertical="center"/>
    </xf>
    <xf numFmtId="0" fontId="22" fillId="0" borderId="0" xfId="34" applyFont="1" applyFill="1"/>
    <xf numFmtId="0" fontId="24" fillId="0" borderId="0" xfId="34" applyFont="1" applyFill="1"/>
    <xf numFmtId="0" fontId="21" fillId="0" borderId="0" xfId="34" applyFont="1" applyFill="1" applyAlignment="1">
      <alignment horizontal="right"/>
    </xf>
    <xf numFmtId="0" fontId="56" fillId="0" borderId="0" xfId="0" applyFont="1" applyFill="1" applyAlignment="1">
      <alignment horizontal="left" indent="1"/>
    </xf>
    <xf numFmtId="0" fontId="21" fillId="0" borderId="0" xfId="100" applyFont="1" applyFill="1" applyAlignment="1">
      <alignment horizontal="left" indent="1"/>
    </xf>
    <xf numFmtId="0" fontId="55" fillId="0" borderId="0" xfId="0" applyFont="1" applyFill="1"/>
    <xf numFmtId="0" fontId="54" fillId="0" borderId="0" xfId="0" quotePrefix="1" applyFont="1" applyFill="1" applyAlignment="1">
      <alignment horizontal="center"/>
    </xf>
    <xf numFmtId="0" fontId="21" fillId="0" borderId="0" xfId="0" applyFont="1" applyFill="1" applyBorder="1" applyAlignment="1">
      <alignment horizontal="left" indent="1"/>
    </xf>
    <xf numFmtId="0" fontId="0" fillId="0" borderId="0" xfId="0" quotePrefix="1" applyFill="1"/>
    <xf numFmtId="0" fontId="21" fillId="0" borderId="0" xfId="100" applyFont="1" applyFill="1" applyBorder="1" applyAlignment="1"/>
    <xf numFmtId="0" fontId="24" fillId="0" borderId="0" xfId="28" applyFont="1" applyFill="1" applyBorder="1" applyAlignment="1">
      <alignment horizontal="right"/>
    </xf>
    <xf numFmtId="164" fontId="0" fillId="0" borderId="0" xfId="0" applyNumberFormat="1" applyFill="1" applyAlignment="1">
      <alignment horizontal="right"/>
    </xf>
    <xf numFmtId="2" fontId="0" fillId="0" borderId="0" xfId="0" applyNumberFormat="1" applyFill="1"/>
    <xf numFmtId="164" fontId="22" fillId="0" borderId="0" xfId="100" applyNumberFormat="1" applyFont="1" applyFill="1"/>
    <xf numFmtId="0" fontId="21" fillId="0" borderId="0" xfId="100" applyNumberFormat="1" applyFont="1" applyFill="1" applyAlignment="1">
      <alignment horizontal="center"/>
    </xf>
    <xf numFmtId="10" fontId="21" fillId="0" borderId="0" xfId="37" applyNumberFormat="1" applyFont="1" applyFill="1" applyAlignment="1">
      <alignment horizontal="center"/>
    </xf>
    <xf numFmtId="5" fontId="21" fillId="0" borderId="0" xfId="100" applyNumberFormat="1" applyFill="1"/>
    <xf numFmtId="0" fontId="21" fillId="0" borderId="0" xfId="100" quotePrefix="1" applyFill="1"/>
    <xf numFmtId="166" fontId="54" fillId="0" borderId="0" xfId="0" applyNumberFormat="1" applyFont="1" applyFill="1"/>
    <xf numFmtId="167" fontId="21" fillId="0" borderId="0" xfId="28" applyNumberFormat="1" applyFont="1" applyFill="1" applyBorder="1" applyAlignment="1">
      <alignment horizontal="center"/>
    </xf>
    <xf numFmtId="0" fontId="25" fillId="0" borderId="0" xfId="0" quotePrefix="1" applyFont="1" applyFill="1" applyAlignment="1">
      <alignment horizontal="center" vertical="top"/>
    </xf>
    <xf numFmtId="0" fontId="22" fillId="0" borderId="7" xfId="28" applyFont="1" applyFill="1" applyBorder="1" applyAlignment="1">
      <alignment horizontal="center"/>
    </xf>
    <xf numFmtId="0" fontId="21" fillId="0" borderId="0" xfId="28" quotePrefix="1" applyFont="1" applyFill="1"/>
    <xf numFmtId="0" fontId="21" fillId="0" borderId="0" xfId="28" applyFont="1" applyFill="1" applyBorder="1" applyAlignment="1" applyProtection="1">
      <alignment horizontal="left" indent="2"/>
      <protection locked="0"/>
    </xf>
    <xf numFmtId="0" fontId="21" fillId="0" borderId="0" xfId="28" applyFont="1" applyFill="1" applyAlignment="1">
      <alignment horizontal="right"/>
    </xf>
    <xf numFmtId="10" fontId="21" fillId="0" borderId="0" xfId="28" applyNumberFormat="1" applyFont="1" applyFill="1"/>
    <xf numFmtId="10" fontId="21" fillId="0" borderId="0" xfId="39" applyNumberFormat="1" applyFont="1" applyFill="1" applyBorder="1" applyAlignment="1">
      <alignment horizontal="center" vertical="justify" wrapText="1"/>
    </xf>
    <xf numFmtId="10" fontId="21" fillId="0" borderId="8" xfId="39" applyNumberFormat="1" applyFont="1" applyFill="1" applyBorder="1" applyAlignment="1">
      <alignment horizontal="center" wrapText="1"/>
    </xf>
    <xf numFmtId="165" fontId="29" fillId="0" borderId="0" xfId="0" applyNumberFormat="1" applyFont="1" applyFill="1"/>
    <xf numFmtId="0" fontId="66" fillId="0" borderId="0" xfId="0" applyFont="1" applyFill="1"/>
    <xf numFmtId="0" fontId="21" fillId="0" borderId="0" xfId="100" applyFont="1" applyFill="1" applyAlignment="1">
      <alignment horizontal="left"/>
    </xf>
    <xf numFmtId="37" fontId="21" fillId="0" borderId="3" xfId="0" applyNumberFormat="1" applyFont="1" applyFill="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NumberFormat="1" applyFont="1" applyFill="1" applyBorder="1"/>
    <xf numFmtId="0" fontId="21" fillId="0" borderId="3" xfId="0" quotePrefix="1" applyNumberFormat="1" applyFont="1" applyFill="1" applyBorder="1" applyAlignment="1">
      <alignment horizontal="center"/>
    </xf>
    <xf numFmtId="0" fontId="24" fillId="0" borderId="4" xfId="0" applyFont="1" applyFill="1" applyBorder="1" applyAlignment="1">
      <alignment horizontal="left"/>
    </xf>
    <xf numFmtId="49" fontId="21" fillId="0" borderId="0" xfId="22" applyNumberFormat="1" applyFont="1" applyFill="1" applyBorder="1" applyAlignment="1">
      <alignment horizontal="left"/>
    </xf>
    <xf numFmtId="49" fontId="24" fillId="0" borderId="0" xfId="22" quotePrefix="1" applyNumberFormat="1" applyFont="1" applyFill="1" applyBorder="1" applyAlignment="1">
      <alignment horizontal="left"/>
    </xf>
    <xf numFmtId="49" fontId="24" fillId="0" borderId="0" xfId="22" applyNumberFormat="1" applyFont="1" applyFill="1" applyBorder="1" applyAlignment="1">
      <alignment horizontal="left"/>
    </xf>
    <xf numFmtId="49" fontId="24" fillId="0" borderId="0" xfId="0" applyNumberFormat="1" applyFont="1" applyFill="1" applyBorder="1" applyAlignment="1">
      <alignment horizontal="left"/>
    </xf>
    <xf numFmtId="176" fontId="24" fillId="0" borderId="0" xfId="22" applyNumberFormat="1" applyFont="1" applyFill="1" applyBorder="1" applyAlignment="1">
      <alignment horizontal="center"/>
    </xf>
    <xf numFmtId="39" fontId="21" fillId="0" borderId="0" xfId="22" applyNumberFormat="1" applyFont="1" applyFill="1" applyBorder="1" applyAlignment="1">
      <alignment horizontal="right"/>
    </xf>
    <xf numFmtId="0" fontId="25" fillId="0" borderId="0" xfId="108" applyFont="1" applyFill="1" applyAlignment="1">
      <alignment horizontal="center"/>
    </xf>
    <xf numFmtId="0" fontId="25" fillId="0" borderId="0" xfId="108" applyFont="1" applyFill="1" applyAlignment="1">
      <alignment horizontal="left"/>
    </xf>
    <xf numFmtId="0" fontId="52" fillId="0" borderId="0" xfId="0" applyFont="1" applyFill="1"/>
    <xf numFmtId="0" fontId="22" fillId="0" borderId="0" xfId="108" applyFont="1" applyFill="1" applyAlignment="1"/>
    <xf numFmtId="0" fontId="25" fillId="0" borderId="0" xfId="108" applyFont="1" applyFill="1" applyAlignment="1"/>
    <xf numFmtId="0" fontId="21" fillId="0" borderId="0" xfId="108" applyFont="1" applyFill="1" applyAlignment="1">
      <alignment horizontal="left" indent="1"/>
    </xf>
    <xf numFmtId="0" fontId="22" fillId="0" borderId="0" xfId="0" applyFont="1" applyFill="1" applyAlignment="1">
      <alignment horizontal="left" indent="2"/>
    </xf>
    <xf numFmtId="0" fontId="52" fillId="0" borderId="0" xfId="0" applyFont="1" applyFill="1" applyAlignment="1">
      <alignment horizontal="center"/>
    </xf>
    <xf numFmtId="0" fontId="55" fillId="0" borderId="0" xfId="0" applyFont="1" applyFill="1" applyAlignment="1">
      <alignment horizontal="left" indent="1"/>
    </xf>
    <xf numFmtId="0" fontId="54" fillId="0" borderId="0" xfId="0" quotePrefix="1" applyFont="1" applyFill="1"/>
    <xf numFmtId="0" fontId="22" fillId="0" borderId="0" xfId="0" applyFont="1" applyFill="1" applyAlignment="1">
      <alignment horizontal="left" indent="1"/>
    </xf>
    <xf numFmtId="164" fontId="21" fillId="0" borderId="0" xfId="0" applyNumberFormat="1" applyFont="1" applyFill="1" applyAlignment="1"/>
    <xf numFmtId="0" fontId="55" fillId="0" borderId="0" xfId="0" applyFont="1" applyFill="1" applyAlignment="1">
      <alignment horizontal="left"/>
    </xf>
    <xf numFmtId="0" fontId="21" fillId="0" borderId="0" xfId="0" applyNumberFormat="1" applyFont="1" applyFill="1" applyAlignment="1">
      <alignment horizontal="left"/>
    </xf>
    <xf numFmtId="171" fontId="0" fillId="0" borderId="0" xfId="0" applyNumberFormat="1" applyFill="1"/>
    <xf numFmtId="0" fontId="25" fillId="0" borderId="0" xfId="0" applyFont="1" applyFill="1" applyAlignment="1"/>
    <xf numFmtId="172" fontId="0" fillId="0" borderId="0" xfId="0" applyNumberFormat="1" applyFill="1"/>
    <xf numFmtId="0" fontId="22" fillId="0" borderId="0" xfId="28" applyFont="1" applyFill="1" applyAlignment="1">
      <alignment horizontal="right" vertical="center"/>
    </xf>
    <xf numFmtId="0" fontId="22" fillId="0" borderId="0" xfId="28" applyFont="1" applyFill="1" applyAlignment="1">
      <alignment horizontal="right"/>
    </xf>
    <xf numFmtId="42" fontId="24" fillId="0" borderId="0" xfId="20" applyNumberFormat="1" applyFont="1" applyFill="1" applyBorder="1"/>
    <xf numFmtId="164" fontId="24" fillId="0" borderId="0" xfId="20" applyNumberFormat="1" applyFont="1" applyFill="1" applyBorder="1"/>
    <xf numFmtId="0" fontId="37" fillId="0" borderId="0" xfId="28" applyFont="1" applyFill="1" applyAlignment="1">
      <alignment vertical="center"/>
    </xf>
    <xf numFmtId="0" fontId="24" fillId="0" borderId="0" xfId="28" applyFont="1" applyFill="1" applyAlignment="1">
      <alignment vertical="center"/>
    </xf>
    <xf numFmtId="164" fontId="24" fillId="0" borderId="0" xfId="39" applyNumberFormat="1" applyFont="1" applyFill="1"/>
    <xf numFmtId="164" fontId="21" fillId="0" borderId="0" xfId="106" applyNumberFormat="1" applyFont="1" applyFill="1"/>
    <xf numFmtId="0" fontId="32" fillId="0" borderId="0" xfId="100" applyFont="1" applyFill="1"/>
    <xf numFmtId="42" fontId="24" fillId="0" borderId="0" xfId="39" applyNumberFormat="1" applyFont="1" applyFill="1"/>
    <xf numFmtId="42" fontId="24" fillId="0" borderId="0" xfId="28" applyNumberFormat="1" applyFont="1" applyFill="1"/>
    <xf numFmtId="0" fontId="22" fillId="0" borderId="0" xfId="28" applyFont="1" applyFill="1" applyAlignment="1">
      <alignment horizontal="center" wrapText="1"/>
    </xf>
    <xf numFmtId="0" fontId="25" fillId="0" borderId="0" xfId="28" applyFont="1" applyFill="1"/>
    <xf numFmtId="164" fontId="21" fillId="0" borderId="0" xfId="28" applyNumberFormat="1" applyFont="1" applyFill="1"/>
    <xf numFmtId="168" fontId="24" fillId="0" borderId="0" xfId="28" applyNumberFormat="1" applyFont="1" applyFill="1"/>
    <xf numFmtId="0" fontId="21" fillId="0" borderId="0" xfId="28" applyFont="1" applyFill="1" applyAlignment="1">
      <alignment vertical="center"/>
    </xf>
    <xf numFmtId="0" fontId="32" fillId="0" borderId="0" xfId="28" applyFont="1" applyFill="1"/>
    <xf numFmtId="164" fontId="21" fillId="0" borderId="8" xfId="96" applyNumberFormat="1" applyFont="1" applyBorder="1"/>
    <xf numFmtId="17" fontId="21" fillId="36" borderId="0" xfId="100" quotePrefix="1" applyNumberFormat="1" applyFont="1" applyFill="1" applyBorder="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0" fontId="21" fillId="36" borderId="0" xfId="0" quotePrefix="1" applyFont="1" applyFill="1"/>
    <xf numFmtId="0" fontId="0" fillId="36" borderId="0" xfId="0" applyFill="1" applyAlignment="1">
      <alignment horizontal="left"/>
    </xf>
    <xf numFmtId="10" fontId="0" fillId="36" borderId="0" xfId="0" applyNumberFormat="1" applyFill="1" applyAlignment="1">
      <alignment horizontal="left"/>
    </xf>
    <xf numFmtId="0" fontId="0" fillId="36" borderId="0" xfId="0" applyFill="1" applyAlignment="1">
      <alignment horizontal="left"/>
    </xf>
    <xf numFmtId="10" fontId="0" fillId="36" borderId="0" xfId="0" applyNumberFormat="1" applyFill="1" applyAlignment="1">
      <alignment horizontal="left"/>
    </xf>
    <xf numFmtId="42" fontId="21" fillId="0" borderId="0" xfId="0" applyNumberFormat="1" applyFont="1"/>
    <xf numFmtId="164" fontId="21" fillId="36" borderId="0" xfId="0" applyNumberFormat="1" applyFont="1" applyFill="1" applyAlignment="1">
      <alignment wrapText="1"/>
    </xf>
    <xf numFmtId="164" fontId="21" fillId="36" borderId="0" xfId="19" applyNumberFormat="1" applyFont="1" applyFill="1" applyBorder="1" applyAlignment="1">
      <alignment wrapText="1"/>
    </xf>
    <xf numFmtId="167" fontId="54" fillId="36" borderId="0" xfId="133" applyNumberFormat="1" applyFont="1" applyFill="1"/>
    <xf numFmtId="167" fontId="54" fillId="36" borderId="0" xfId="133" applyNumberFormat="1" applyFont="1" applyFill="1" applyBorder="1"/>
    <xf numFmtId="3" fontId="21" fillId="36" borderId="0" xfId="126" applyNumberFormat="1" applyFill="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10" fontId="21" fillId="36" borderId="0" xfId="126" applyNumberFormat="1" applyFont="1" applyFill="1" applyBorder="1"/>
    <xf numFmtId="3" fontId="21" fillId="36" borderId="0" xfId="126" applyNumberFormat="1" applyFont="1" applyFill="1" applyBorder="1"/>
    <xf numFmtId="3" fontId="21" fillId="36" borderId="0" xfId="128" applyNumberFormat="1" applyFont="1" applyFill="1" applyBorder="1"/>
    <xf numFmtId="3" fontId="21" fillId="36" borderId="0" xfId="129" applyNumberFormat="1" applyFont="1" applyFill="1" applyBorder="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5" fontId="21" fillId="36" borderId="0" xfId="22" applyNumberFormat="1" applyFont="1" applyFill="1" applyBorder="1"/>
    <xf numFmtId="3" fontId="0" fillId="36" borderId="0" xfId="0" applyNumberFormat="1" applyFill="1"/>
    <xf numFmtId="170" fontId="21" fillId="36" borderId="0" xfId="100" applyNumberFormat="1" applyFont="1" applyFill="1" applyAlignment="1">
      <alignment horizontal="center"/>
    </xf>
    <xf numFmtId="0" fontId="21" fillId="36" borderId="0" xfId="100" applyFont="1" applyFill="1"/>
    <xf numFmtId="164" fontId="21" fillId="36" borderId="0" xfId="100" applyNumberFormat="1" applyFont="1" applyFill="1"/>
    <xf numFmtId="0" fontId="0" fillId="0" borderId="0" xfId="0"/>
    <xf numFmtId="0" fontId="21" fillId="36" borderId="0" xfId="0" applyFont="1" applyFill="1"/>
    <xf numFmtId="164" fontId="54" fillId="36" borderId="0" xfId="0" applyNumberFormat="1" applyFont="1" applyFill="1"/>
    <xf numFmtId="0" fontId="54" fillId="36" borderId="0" xfId="0" applyFont="1" applyFill="1"/>
    <xf numFmtId="170" fontId="21" fillId="36" borderId="0" xfId="100" applyNumberFormat="1" applyFont="1" applyFill="1" applyAlignment="1">
      <alignment horizontal="center"/>
    </xf>
    <xf numFmtId="164" fontId="21" fillId="36" borderId="0" xfId="96" applyNumberFormat="1" applyFont="1" applyFill="1" applyBorder="1"/>
    <xf numFmtId="0" fontId="21" fillId="36" borderId="0" xfId="0" applyFont="1" applyFill="1"/>
    <xf numFmtId="0" fontId="22" fillId="36" borderId="0" xfId="0" applyFont="1" applyFill="1" applyAlignment="1">
      <alignment horizontal="center"/>
    </xf>
    <xf numFmtId="164" fontId="54" fillId="36" borderId="0" xfId="0" applyNumberFormat="1" applyFont="1" applyFill="1"/>
    <xf numFmtId="170" fontId="21" fillId="36" borderId="0" xfId="100" applyNumberFormat="1" applyFont="1" applyFill="1" applyAlignment="1">
      <alignment horizontal="center"/>
    </xf>
    <xf numFmtId="164" fontId="21" fillId="36" borderId="0" xfId="96" applyNumberFormat="1" applyFont="1" applyFill="1" applyBorder="1"/>
    <xf numFmtId="164" fontId="54" fillId="36" borderId="0" xfId="125" applyNumberFormat="1" applyFont="1" applyFill="1"/>
    <xf numFmtId="0" fontId="54" fillId="36" borderId="0" xfId="125" applyFont="1" applyFill="1"/>
    <xf numFmtId="170" fontId="21" fillId="36" borderId="0" xfId="125" quotePrefix="1" applyNumberFormat="1" applyFont="1" applyFill="1" applyAlignment="1">
      <alignment horizontal="center"/>
    </xf>
    <xf numFmtId="0" fontId="21" fillId="36" borderId="0" xfId="125" applyFont="1" applyFill="1"/>
    <xf numFmtId="164" fontId="54" fillId="36" borderId="0" xfId="96" applyNumberFormat="1" applyFont="1" applyFill="1" applyBorder="1"/>
    <xf numFmtId="0" fontId="21" fillId="36" borderId="0" xfId="125" applyFont="1" applyFill="1" applyBorder="1" applyProtection="1"/>
    <xf numFmtId="164" fontId="67" fillId="36" borderId="0" xfId="0" applyNumberFormat="1" applyFont="1" applyFill="1"/>
    <xf numFmtId="172" fontId="21" fillId="34" borderId="0" xfId="0" applyNumberFormat="1" applyFont="1" applyFill="1" applyAlignment="1">
      <alignment wrapText="1"/>
    </xf>
    <xf numFmtId="0" fontId="24" fillId="0" borderId="4" xfId="0" applyNumberFormat="1" applyFont="1" applyFill="1" applyBorder="1"/>
    <xf numFmtId="0" fontId="21" fillId="36" borderId="0" xfId="0" applyFont="1" applyFill="1" applyAlignment="1"/>
    <xf numFmtId="37" fontId="21" fillId="36" borderId="3" xfId="97" quotePrefix="1" applyNumberFormat="1" applyFont="1" applyFill="1" applyBorder="1" applyAlignment="1">
      <alignment horizontal="center"/>
    </xf>
    <xf numFmtId="37" fontId="21" fillId="36" borderId="3" xfId="97" applyNumberFormat="1" applyFont="1" applyFill="1" applyBorder="1" applyAlignment="1">
      <alignment horizontal="center"/>
    </xf>
    <xf numFmtId="0" fontId="0" fillId="36" borderId="0" xfId="0" applyFill="1" applyAlignment="1">
      <alignment horizontal="left" vertical="top" wrapText="1"/>
    </xf>
    <xf numFmtId="164" fontId="0" fillId="36" borderId="0" xfId="0" applyNumberFormat="1" applyFill="1"/>
    <xf numFmtId="164" fontId="21" fillId="34" borderId="0" xfId="0" applyNumberFormat="1" applyFont="1" applyFill="1"/>
    <xf numFmtId="164" fontId="21" fillId="0" borderId="0" xfId="100" applyNumberFormat="1" applyFont="1" applyFill="1" applyBorder="1" applyAlignment="1">
      <alignment horizontal="right"/>
    </xf>
    <xf numFmtId="164" fontId="21" fillId="0" borderId="14" xfId="96" applyNumberFormat="1" applyFont="1" applyFill="1" applyBorder="1"/>
    <xf numFmtId="164" fontId="21" fillId="36" borderId="0" xfId="0" applyNumberFormat="1" applyFont="1" applyFill="1" applyBorder="1"/>
    <xf numFmtId="0" fontId="25" fillId="0" borderId="0" xfId="0" applyFont="1" applyFill="1" applyBorder="1"/>
    <xf numFmtId="0" fontId="24" fillId="0" borderId="0" xfId="0" applyFont="1" applyBorder="1" applyAlignment="1">
      <alignment horizontal="right"/>
    </xf>
    <xf numFmtId="164" fontId="28" fillId="36" borderId="0" xfId="0" applyNumberFormat="1" applyFont="1" applyFill="1" applyBorder="1" applyAlignment="1"/>
    <xf numFmtId="0" fontId="22" fillId="0" borderId="0" xfId="0" applyFont="1" applyBorder="1"/>
    <xf numFmtId="164" fontId="0" fillId="0" borderId="0" xfId="0" applyNumberFormat="1" applyBorder="1" applyAlignment="1"/>
    <xf numFmtId="0" fontId="24" fillId="0" borderId="0" xfId="0" applyFont="1" applyBorder="1" applyAlignment="1">
      <alignment horizontal="left" indent="1"/>
    </xf>
    <xf numFmtId="0" fontId="21" fillId="0" borderId="0" xfId="0" applyFont="1" applyBorder="1" applyAlignment="1">
      <alignment horizontal="left" indent="1"/>
    </xf>
    <xf numFmtId="0" fontId="21" fillId="36" borderId="0" xfId="0" applyFont="1" applyFill="1" applyBorder="1"/>
    <xf numFmtId="0" fontId="21" fillId="0" borderId="0" xfId="0" applyFont="1" applyBorder="1" applyAlignment="1">
      <alignment horizontal="right"/>
    </xf>
    <xf numFmtId="0" fontId="0" fillId="36" borderId="0" xfId="0" applyFill="1" applyBorder="1"/>
    <xf numFmtId="181" fontId="22" fillId="36" borderId="0" xfId="19" applyNumberFormat="1" applyFont="1" applyFill="1" applyAlignment="1">
      <alignment horizontal="center"/>
    </xf>
    <xf numFmtId="164" fontId="54" fillId="36" borderId="0" xfId="125" applyNumberFormat="1" applyFont="1" applyFill="1" applyBorder="1"/>
    <xf numFmtId="164" fontId="54" fillId="36" borderId="0" xfId="0" applyNumberFormat="1" applyFont="1" applyFill="1" applyBorder="1"/>
    <xf numFmtId="0" fontId="22" fillId="36" borderId="0" xfId="0" applyFont="1" applyFill="1" applyBorder="1" applyAlignment="1">
      <alignment horizontal="center"/>
    </xf>
    <xf numFmtId="170" fontId="21" fillId="36" borderId="0" xfId="0" quotePrefix="1" applyNumberFormat="1" applyFont="1" applyFill="1" applyBorder="1" applyAlignment="1" applyProtection="1">
      <alignment horizontal="center"/>
    </xf>
    <xf numFmtId="0" fontId="54" fillId="36" borderId="0" xfId="125" applyFont="1" applyFill="1" applyBorder="1"/>
    <xf numFmtId="0" fontId="21" fillId="36" borderId="0" xfId="28" applyFont="1" applyFill="1" applyBorder="1"/>
    <xf numFmtId="164" fontId="0" fillId="34" borderId="0" xfId="0" applyNumberFormat="1" applyFill="1" applyBorder="1"/>
    <xf numFmtId="10" fontId="21" fillId="0" borderId="0" xfId="0" applyNumberFormat="1" applyFont="1" applyAlignment="1">
      <alignment horizontal="right" wrapText="1"/>
    </xf>
    <xf numFmtId="0" fontId="53" fillId="0" borderId="0" xfId="126" applyFont="1" applyFill="1" applyAlignment="1">
      <alignment horizontal="center"/>
    </xf>
    <xf numFmtId="0" fontId="21" fillId="0" borderId="6" xfId="126" quotePrefix="1" applyFont="1" applyBorder="1" applyAlignment="1">
      <alignment horizontal="center" wrapText="1"/>
    </xf>
    <xf numFmtId="0" fontId="21" fillId="0" borderId="5" xfId="126" applyFont="1" applyFill="1" applyBorder="1" applyAlignment="1">
      <alignment horizontal="center" wrapText="1"/>
    </xf>
    <xf numFmtId="0" fontId="21" fillId="0" borderId="0" xfId="126" applyFont="1" applyFill="1" applyAlignment="1">
      <alignment horizontal="center" wrapText="1"/>
    </xf>
    <xf numFmtId="0" fontId="21" fillId="0" borderId="5" xfId="126" quotePrefix="1" applyFont="1" applyFill="1" applyBorder="1" applyAlignment="1">
      <alignment horizontal="center" wrapText="1"/>
    </xf>
    <xf numFmtId="0" fontId="21" fillId="0" borderId="19" xfId="126" applyFont="1" applyFill="1" applyBorder="1" applyAlignment="1">
      <alignment horizontal="center"/>
    </xf>
    <xf numFmtId="3" fontId="21" fillId="0" borderId="3" xfId="126" applyNumberFormat="1" applyFill="1" applyBorder="1"/>
    <xf numFmtId="9" fontId="21" fillId="0" borderId="0" xfId="37" applyFont="1" applyFill="1"/>
    <xf numFmtId="0" fontId="21" fillId="0" borderId="0" xfId="126" quotePrefix="1" applyFont="1" applyFill="1" applyAlignment="1">
      <alignment horizontal="center" vertical="center" wrapText="1"/>
    </xf>
    <xf numFmtId="0" fontId="160" fillId="0" borderId="0" xfId="126" applyFont="1" applyFill="1" applyAlignment="1">
      <alignment horizontal="center"/>
    </xf>
    <xf numFmtId="0" fontId="21" fillId="0" borderId="0" xfId="126" applyFont="1" applyFill="1" applyAlignment="1">
      <alignment horizontal="left"/>
    </xf>
    <xf numFmtId="179" fontId="21" fillId="36" borderId="0" xfId="35" applyNumberFormat="1" applyFont="1" applyFill="1" applyBorder="1" applyAlignment="1">
      <alignment horizontal="left"/>
    </xf>
    <xf numFmtId="0" fontId="21" fillId="36" borderId="0" xfId="35" applyFont="1" applyFill="1" applyBorder="1" applyAlignment="1">
      <alignment horizontal="left" vertical="top" indent="1"/>
    </xf>
    <xf numFmtId="0" fontId="21" fillId="36" borderId="0" xfId="126" applyFont="1" applyFill="1" applyBorder="1"/>
    <xf numFmtId="0" fontId="21" fillId="36" borderId="0" xfId="126" applyFill="1" applyBorder="1"/>
    <xf numFmtId="3" fontId="21" fillId="0" borderId="0" xfId="126" applyNumberFormat="1" applyFont="1"/>
    <xf numFmtId="0" fontId="21" fillId="0" borderId="6" xfId="126" applyFont="1" applyFill="1" applyBorder="1" applyAlignment="1">
      <alignment horizontal="center" wrapText="1"/>
    </xf>
    <xf numFmtId="0" fontId="0" fillId="0" borderId="9" xfId="0" applyBorder="1" applyAlignment="1">
      <alignment horizontal="center" wrapText="1"/>
    </xf>
    <xf numFmtId="0" fontId="0" fillId="0" borderId="4" xfId="0" applyBorder="1" applyAlignment="1">
      <alignment horizontal="center" wrapText="1"/>
    </xf>
    <xf numFmtId="0" fontId="0" fillId="0" borderId="18" xfId="0" applyBorder="1" applyAlignment="1">
      <alignment horizontal="center"/>
    </xf>
    <xf numFmtId="0" fontId="22" fillId="0" borderId="4" xfId="126" applyFont="1" applyFill="1" applyBorder="1" applyAlignment="1">
      <alignment horizontal="center"/>
    </xf>
    <xf numFmtId="3" fontId="21" fillId="0" borderId="3" xfId="126" applyNumberFormat="1" applyFont="1" applyFill="1" applyBorder="1"/>
    <xf numFmtId="0" fontId="70" fillId="0" borderId="0" xfId="126" applyFont="1" applyFill="1"/>
    <xf numFmtId="0" fontId="66" fillId="0" borderId="0" xfId="126" quotePrefix="1" applyFont="1" applyAlignment="1">
      <alignment horizontal="center" vertical="center" wrapText="1"/>
    </xf>
    <xf numFmtId="0" fontId="21" fillId="0" borderId="0" xfId="126" applyFont="1" applyAlignment="1">
      <alignment horizontal="center" wrapText="1"/>
    </xf>
    <xf numFmtId="0" fontId="21" fillId="0" borderId="0" xfId="126" quotePrefix="1" applyFont="1" applyFill="1" applyAlignment="1">
      <alignment horizontal="center" wrapText="1"/>
    </xf>
    <xf numFmtId="0" fontId="160" fillId="0" borderId="0" xfId="126" quotePrefix="1" applyFont="1" applyAlignment="1">
      <alignment horizontal="center" wrapText="1"/>
    </xf>
    <xf numFmtId="0" fontId="162" fillId="0" borderId="0" xfId="126" quotePrefix="1" applyFont="1" applyAlignment="1">
      <alignment horizontal="center"/>
    </xf>
    <xf numFmtId="0" fontId="162" fillId="0" borderId="0" xfId="126" quotePrefix="1" applyFont="1" applyBorder="1" applyAlignment="1">
      <alignment horizontal="center"/>
    </xf>
    <xf numFmtId="2" fontId="163" fillId="0" borderId="29" xfId="126" applyNumberFormat="1" applyFont="1" applyBorder="1" applyAlignment="1">
      <alignment horizontal="center" wrapText="1"/>
    </xf>
    <xf numFmtId="2" fontId="163" fillId="0" borderId="0" xfId="126" applyNumberFormat="1" applyFont="1" applyBorder="1" applyAlignment="1">
      <alignment horizontal="center" wrapText="1"/>
    </xf>
    <xf numFmtId="164" fontId="21" fillId="0" borderId="0" xfId="126" applyNumberFormat="1" applyFont="1" applyFill="1"/>
    <xf numFmtId="3" fontId="60" fillId="0" borderId="0" xfId="0" applyNumberFormat="1" applyFont="1" applyFill="1" applyAlignment="1">
      <alignment horizontal="right"/>
    </xf>
    <xf numFmtId="166" fontId="60" fillId="0" borderId="0" xfId="0" applyNumberFormat="1" applyFont="1" applyFill="1" applyAlignment="1">
      <alignment horizontal="right"/>
    </xf>
    <xf numFmtId="2" fontId="160" fillId="0" borderId="0" xfId="126" applyNumberFormat="1" applyFont="1"/>
    <xf numFmtId="164" fontId="160" fillId="0" borderId="0" xfId="126" applyNumberFormat="1" applyFont="1" applyFill="1"/>
    <xf numFmtId="1" fontId="160" fillId="0" borderId="0" xfId="126" applyNumberFormat="1" applyFont="1"/>
    <xf numFmtId="166" fontId="21" fillId="0" borderId="0" xfId="126" quotePrefix="1" applyNumberFormat="1" applyFont="1" applyFill="1" applyAlignment="1">
      <alignment horizontal="center"/>
    </xf>
    <xf numFmtId="166" fontId="21" fillId="0" borderId="0" xfId="126" applyNumberFormat="1" applyFont="1" applyFill="1" applyAlignment="1">
      <alignment horizontal="center"/>
    </xf>
    <xf numFmtId="0" fontId="21" fillId="0" borderId="0" xfId="126" applyFont="1" applyFill="1" applyAlignment="1">
      <alignment readingOrder="1"/>
    </xf>
    <xf numFmtId="0" fontId="21" fillId="0" borderId="0" xfId="126" quotePrefix="1" applyFont="1" applyAlignment="1">
      <alignment horizontal="center" wrapText="1"/>
    </xf>
    <xf numFmtId="0" fontId="21" fillId="0" borderId="0" xfId="126" applyFont="1" applyAlignment="1">
      <alignment wrapText="1"/>
    </xf>
    <xf numFmtId="0" fontId="22" fillId="0" borderId="5" xfId="126" applyFont="1" applyBorder="1" applyAlignment="1">
      <alignment horizontal="center" wrapText="1"/>
    </xf>
    <xf numFmtId="3" fontId="21" fillId="36" borderId="0" xfId="126" applyNumberFormat="1" applyFont="1" applyFill="1"/>
    <xf numFmtId="10" fontId="21" fillId="0" borderId="0" xfId="126" applyNumberFormat="1" applyFont="1"/>
    <xf numFmtId="3" fontId="21" fillId="0" borderId="0" xfId="126" applyNumberFormat="1" applyFont="1" applyFill="1"/>
    <xf numFmtId="3" fontId="21" fillId="0" borderId="3" xfId="126" applyNumberFormat="1" applyFont="1" applyBorder="1"/>
    <xf numFmtId="10" fontId="54" fillId="0" borderId="3" xfId="134" applyNumberFormat="1" applyFont="1" applyBorder="1"/>
    <xf numFmtId="164" fontId="21" fillId="0" borderId="0" xfId="0" applyNumberFormat="1" applyFont="1" applyAlignment="1"/>
    <xf numFmtId="166" fontId="21" fillId="0" borderId="0" xfId="0" applyNumberFormat="1" applyFont="1" applyFill="1" applyAlignment="1">
      <alignment horizontal="left" indent="1"/>
    </xf>
    <xf numFmtId="164" fontId="21" fillId="0" borderId="0" xfId="0" quotePrefix="1" applyNumberFormat="1" applyFont="1" applyAlignment="1">
      <alignment horizontal="center"/>
    </xf>
    <xf numFmtId="0" fontId="21" fillId="0" borderId="0" xfId="100" applyNumberFormat="1" applyFont="1" applyFill="1" applyBorder="1" applyAlignment="1">
      <alignment horizontal="left" indent="2"/>
    </xf>
    <xf numFmtId="0" fontId="21" fillId="0" borderId="0" xfId="0" applyFont="1" applyFill="1" applyAlignment="1">
      <alignment horizontal="left" indent="4"/>
    </xf>
    <xf numFmtId="0" fontId="21" fillId="0" borderId="0" xfId="100" applyNumberFormat="1" applyFont="1" applyFill="1" applyBorder="1" applyAlignment="1">
      <alignment horizontal="left" indent="1"/>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0" fontId="21" fillId="0" borderId="0" xfId="0" quotePrefix="1" applyFont="1" applyAlignment="1">
      <alignment horizontal="left" indent="2"/>
    </xf>
    <xf numFmtId="37" fontId="0" fillId="36" borderId="0" xfId="19" applyNumberFormat="1" applyFont="1" applyFill="1"/>
    <xf numFmtId="3" fontId="21" fillId="0" borderId="0" xfId="100" applyNumberFormat="1" applyFont="1" applyFill="1" applyBorder="1" applyAlignment="1">
      <alignment horizontal="left" indent="1"/>
    </xf>
    <xf numFmtId="167" fontId="22" fillId="0" borderId="0" xfId="96" applyNumberFormat="1" applyFont="1" applyFill="1" applyBorder="1" applyAlignment="1">
      <alignment horizontal="center"/>
    </xf>
    <xf numFmtId="0" fontId="21" fillId="0" borderId="0" xfId="100" applyFont="1" applyFill="1" applyBorder="1"/>
    <xf numFmtId="42" fontId="21" fillId="0" borderId="0" xfId="0" applyNumberFormat="1" applyFont="1" applyFill="1"/>
    <xf numFmtId="0" fontId="21" fillId="0" borderId="0" xfId="100" quotePrefix="1" applyFont="1" applyFill="1"/>
    <xf numFmtId="0" fontId="21" fillId="36" borderId="0" xfId="0" applyNumberFormat="1" applyFont="1" applyFill="1" applyAlignment="1"/>
    <xf numFmtId="165" fontId="0" fillId="36" borderId="0" xfId="0" applyNumberFormat="1" applyFill="1"/>
    <xf numFmtId="164" fontId="21" fillId="36" borderId="0" xfId="100" applyNumberFormat="1" applyFont="1" applyFill="1" applyBorder="1" applyAlignment="1">
      <alignment vertical="top" wrapText="1"/>
    </xf>
    <xf numFmtId="5" fontId="21" fillId="36" borderId="0" xfId="22" applyNumberFormat="1" applyFont="1" applyFill="1" applyBorder="1" applyAlignment="1">
      <alignment horizontal="center"/>
    </xf>
    <xf numFmtId="0" fontId="0" fillId="0" borderId="0" xfId="0" applyFill="1" applyAlignment="1"/>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36" borderId="0" xfId="100" applyFont="1" applyFill="1" applyBorder="1" applyAlignment="1">
      <alignment horizontal="center"/>
    </xf>
    <xf numFmtId="164" fontId="28" fillId="34" borderId="0" xfId="0" applyNumberFormat="1" applyFont="1" applyFill="1" applyAlignment="1"/>
    <xf numFmtId="0" fontId="21" fillId="0" borderId="0" xfId="100" quotePrefix="1" applyNumberFormat="1" applyFont="1" applyFill="1" applyBorder="1" applyAlignment="1">
      <alignment horizontal="left"/>
    </xf>
    <xf numFmtId="0" fontId="21" fillId="0" borderId="0" xfId="100" applyNumberFormat="1" applyFont="1" applyFill="1" applyBorder="1" applyAlignment="1">
      <alignment horizontal="right"/>
    </xf>
    <xf numFmtId="164" fontId="21" fillId="0" borderId="0" xfId="96" applyNumberFormat="1" applyFont="1" applyFill="1" applyBorder="1" applyAlignment="1">
      <alignment horizontal="right"/>
    </xf>
    <xf numFmtId="167" fontId="21" fillId="0" borderId="0" xfId="100" quotePrefix="1" applyNumberFormat="1" applyFont="1" applyFill="1" applyBorder="1" applyAlignment="1">
      <alignment horizontal="left" indent="1"/>
    </xf>
    <xf numFmtId="0" fontId="25" fillId="0" borderId="0" xfId="100" applyNumberFormat="1" applyFont="1" applyFill="1" applyBorder="1" applyAlignment="1">
      <alignment horizontal="left"/>
    </xf>
    <xf numFmtId="0" fontId="25" fillId="0" borderId="0" xfId="100" applyNumberFormat="1" applyFont="1" applyFill="1" applyBorder="1" applyAlignment="1">
      <alignment horizontal="center"/>
    </xf>
    <xf numFmtId="167" fontId="21" fillId="0" borderId="0" xfId="100" applyNumberFormat="1" applyFont="1" applyFill="1" applyBorder="1" applyAlignment="1">
      <alignment horizontal="left" indent="1"/>
    </xf>
    <xf numFmtId="0" fontId="21" fillId="0" borderId="0" xfId="100" applyFont="1" applyBorder="1" applyAlignment="1"/>
    <xf numFmtId="167" fontId="21" fillId="0" borderId="0" xfId="96" applyNumberFormat="1" applyFont="1" applyFill="1" applyBorder="1" applyAlignment="1">
      <alignment horizontal="right"/>
    </xf>
    <xf numFmtId="167" fontId="21" fillId="0" borderId="0" xfId="100" applyNumberFormat="1" applyFont="1" applyFill="1" applyBorder="1" applyAlignment="1">
      <alignment horizontal="right"/>
    </xf>
    <xf numFmtId="0" fontId="25" fillId="0" borderId="0" xfId="100" applyFont="1" applyFill="1" applyBorder="1" applyAlignment="1">
      <alignment horizontal="center"/>
    </xf>
    <xf numFmtId="1" fontId="21" fillId="0" borderId="0" xfId="100" applyNumberFormat="1" applyFont="1" applyFill="1" applyBorder="1" applyAlignment="1">
      <alignment horizontal="center"/>
    </xf>
    <xf numFmtId="3" fontId="21" fillId="0" borderId="0" xfId="100" applyNumberFormat="1" applyFont="1" applyFill="1" applyBorder="1" applyAlignment="1"/>
    <xf numFmtId="3" fontId="25" fillId="0" borderId="0" xfId="100" applyNumberFormat="1" applyFont="1" applyFill="1" applyBorder="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5" fontId="21" fillId="0" borderId="0" xfId="0" quotePrefix="1" applyNumberFormat="1" applyFont="1" applyAlignment="1">
      <alignment horizontal="center"/>
    </xf>
    <xf numFmtId="5" fontId="28" fillId="0" borderId="0" xfId="0" quotePrefix="1" applyNumberFormat="1" applyFont="1" applyAlignment="1">
      <alignment horizontal="center"/>
    </xf>
    <xf numFmtId="0" fontId="22" fillId="0" borderId="0" xfId="0" quotePrefix="1" applyFont="1" applyFill="1"/>
    <xf numFmtId="164" fontId="28" fillId="0" borderId="0" xfId="0" quotePrefix="1" applyNumberFormat="1" applyFont="1" applyAlignment="1">
      <alignment horizontal="center"/>
    </xf>
    <xf numFmtId="0" fontId="21" fillId="0" borderId="0" xfId="0" quotePrefix="1" applyFont="1" applyFill="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Font="1" applyFill="1" applyBorder="1" applyAlignment="1">
      <alignment horizontal="left"/>
    </xf>
    <xf numFmtId="0" fontId="67" fillId="0" borderId="0" xfId="0" applyFont="1" applyFill="1" applyAlignment="1">
      <alignment horizontal="left" vertical="center" indent="1"/>
    </xf>
    <xf numFmtId="171" fontId="21" fillId="0" borderId="0" xfId="0" applyNumberFormat="1" applyFont="1" applyFill="1"/>
    <xf numFmtId="37" fontId="22" fillId="36" borderId="3" xfId="97" quotePrefix="1" applyNumberFormat="1" applyFont="1" applyFill="1" applyBorder="1" applyAlignment="1">
      <alignment horizontal="center"/>
    </xf>
    <xf numFmtId="0" fontId="21" fillId="36" borderId="3" xfId="0" quotePrefix="1" applyNumberFormat="1" applyFont="1" applyFill="1" applyBorder="1" applyAlignment="1">
      <alignment horizontal="center"/>
    </xf>
    <xf numFmtId="177" fontId="21" fillId="36" borderId="3" xfId="97" applyNumberFormat="1" applyFont="1" applyFill="1" applyBorder="1" applyAlignment="1">
      <alignment horizontal="center"/>
    </xf>
    <xf numFmtId="164" fontId="21" fillId="36" borderId="0" xfId="100" applyNumberFormat="1" applyFont="1" applyFill="1" applyBorder="1" applyAlignment="1">
      <alignment horizontal="right" vertical="center" wrapText="1"/>
    </xf>
    <xf numFmtId="164" fontId="28" fillId="36" borderId="0" xfId="100" applyNumberFormat="1" applyFont="1" applyFill="1" applyBorder="1" applyAlignment="1">
      <alignment horizontal="right" vertical="center" wrapText="1"/>
    </xf>
    <xf numFmtId="164" fontId="21" fillId="36" borderId="0" xfId="96" applyNumberFormat="1" applyFont="1" applyFill="1"/>
    <xf numFmtId="164" fontId="36" fillId="36" borderId="0" xfId="96" applyNumberFormat="1" applyFont="1" applyFill="1"/>
    <xf numFmtId="164" fontId="36" fillId="36" borderId="0" xfId="100" applyNumberFormat="1" applyFont="1" applyFill="1"/>
    <xf numFmtId="1" fontId="21" fillId="36" borderId="0" xfId="126" applyNumberFormat="1" applyFont="1" applyFill="1"/>
    <xf numFmtId="164" fontId="24" fillId="36" borderId="0" xfId="0" applyNumberFormat="1" applyFont="1" applyFill="1" applyBorder="1" applyAlignment="1">
      <alignment horizontal="right"/>
    </xf>
    <xf numFmtId="206" fontId="24" fillId="0" borderId="0" xfId="0" applyNumberFormat="1" applyFont="1" applyFill="1"/>
    <xf numFmtId="0" fontId="0" fillId="0" borderId="0" xfId="0" applyFill="1" applyAlignment="1">
      <alignment wrapText="1"/>
    </xf>
    <xf numFmtId="164" fontId="22" fillId="0" borderId="0" xfId="96" applyNumberFormat="1" applyFont="1" applyBorder="1" applyAlignment="1">
      <alignment horizontal="center"/>
    </xf>
    <xf numFmtId="0" fontId="22" fillId="0" borderId="0" xfId="0" quotePrefix="1" applyFont="1" applyAlignment="1">
      <alignment horizontal="left" indent="1"/>
    </xf>
    <xf numFmtId="164" fontId="25" fillId="0" borderId="0" xfId="96" applyNumberFormat="1" applyFont="1" applyBorder="1" applyAlignment="1">
      <alignment horizontal="center"/>
    </xf>
    <xf numFmtId="0" fontId="21" fillId="0" borderId="0" xfId="0" applyFont="1" applyFill="1" applyAlignment="1">
      <alignment wrapText="1"/>
    </xf>
    <xf numFmtId="3" fontId="21" fillId="0" borderId="0" xfId="96" applyNumberFormat="1" applyFont="1" applyFill="1" applyBorder="1"/>
    <xf numFmtId="10" fontId="21" fillId="0" borderId="0" xfId="96" applyNumberFormat="1" applyFont="1" applyBorder="1"/>
    <xf numFmtId="0" fontId="0" fillId="36" borderId="0" xfId="0" applyFill="1" applyAlignment="1">
      <alignment wrapText="1"/>
    </xf>
    <xf numFmtId="166" fontId="21" fillId="0" borderId="0" xfId="96" applyNumberFormat="1" applyFont="1" applyBorder="1" applyAlignment="1">
      <alignment horizontal="left" indent="1"/>
    </xf>
    <xf numFmtId="166" fontId="21" fillId="0" borderId="0" xfId="0" quotePrefix="1" applyNumberFormat="1" applyFont="1" applyAlignment="1">
      <alignment horizontal="center"/>
    </xf>
    <xf numFmtId="0" fontId="21" fillId="0" borderId="11" xfId="0" applyNumberFormat="1" applyFont="1" applyFill="1" applyBorder="1" applyAlignment="1">
      <alignment horizontal="center"/>
    </xf>
    <xf numFmtId="0" fontId="21" fillId="0" borderId="4" xfId="0" applyNumberFormat="1" applyFont="1" applyFill="1" applyBorder="1" applyAlignment="1">
      <alignment horizontal="center"/>
    </xf>
    <xf numFmtId="0" fontId="21" fillId="0" borderId="57" xfId="0" applyNumberFormat="1" applyFont="1" applyFill="1" applyBorder="1" applyAlignment="1">
      <alignment horizontal="center"/>
    </xf>
    <xf numFmtId="0" fontId="21" fillId="0" borderId="3" xfId="0" applyNumberFormat="1" applyFont="1" applyFill="1" applyBorder="1" applyAlignment="1">
      <alignment horizontal="center"/>
    </xf>
    <xf numFmtId="0" fontId="21" fillId="0" borderId="3" xfId="0" quotePrefix="1" applyNumberFormat="1" applyFont="1" applyBorder="1" applyAlignment="1">
      <alignment horizontal="center"/>
    </xf>
    <xf numFmtId="0" fontId="164" fillId="36" borderId="0" xfId="0" applyFont="1" applyFill="1"/>
    <xf numFmtId="0" fontId="21" fillId="0" borderId="7" xfId="126" applyBorder="1" applyAlignment="1">
      <alignment horizontal="center"/>
    </xf>
    <xf numFmtId="164" fontId="22" fillId="36" borderId="0" xfId="0" applyNumberFormat="1" applyFont="1" applyFill="1" applyAlignment="1">
      <alignment horizontal="center"/>
    </xf>
    <xf numFmtId="164" fontId="21" fillId="36" borderId="0" xfId="0" applyNumberFormat="1" applyFont="1" applyFill="1" applyAlignment="1">
      <alignment horizontal="center"/>
    </xf>
    <xf numFmtId="0" fontId="22" fillId="36" borderId="0" xfId="0" applyFont="1" applyFill="1" applyAlignment="1">
      <alignment horizontal="left"/>
    </xf>
    <xf numFmtId="164" fontId="24" fillId="0" borderId="0" xfId="0" applyNumberFormat="1" applyFont="1" applyFill="1" applyAlignment="1"/>
    <xf numFmtId="164" fontId="24" fillId="0" borderId="0" xfId="0" applyNumberFormat="1" applyFont="1" applyFill="1" applyAlignment="1">
      <alignment horizontal="right" indent="1"/>
    </xf>
    <xf numFmtId="3" fontId="54" fillId="0" borderId="0" xfId="0" applyNumberFormat="1" applyFont="1"/>
    <xf numFmtId="0" fontId="21" fillId="0" borderId="0" xfId="28" applyFont="1" applyFill="1" applyBorder="1" applyAlignment="1">
      <alignment horizontal="left"/>
    </xf>
    <xf numFmtId="164" fontId="21" fillId="0" borderId="0" xfId="23" applyNumberFormat="1" applyFont="1" applyFill="1" applyAlignment="1">
      <alignment horizontal="right"/>
    </xf>
    <xf numFmtId="164" fontId="21" fillId="0" borderId="0" xfId="0" applyNumberFormat="1" applyFont="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4" fillId="0" borderId="0" xfId="0" applyFont="1" applyAlignment="1">
      <alignment horizontal="left" wrapText="1"/>
    </xf>
    <xf numFmtId="49" fontId="74" fillId="0" borderId="0" xfId="0" quotePrefix="1" applyNumberFormat="1" applyFont="1" applyAlignment="1">
      <alignment horizontal="left" indent="1"/>
    </xf>
    <xf numFmtId="0" fontId="74" fillId="0" borderId="0" xfId="0" applyFont="1"/>
    <xf numFmtId="49" fontId="74" fillId="0" borderId="0" xfId="0" applyNumberFormat="1" applyFont="1" applyAlignment="1">
      <alignment horizontal="left" indent="1"/>
    </xf>
    <xf numFmtId="0" fontId="21" fillId="0" borderId="0" xfId="0" applyFont="1" applyBorder="1"/>
    <xf numFmtId="3" fontId="21" fillId="0" borderId="0" xfId="23" applyNumberFormat="1" applyFont="1" applyBorder="1" applyAlignment="1">
      <alignment horizontal="right"/>
    </xf>
    <xf numFmtId="3" fontId="21" fillId="0" borderId="0" xfId="0" applyNumberFormat="1" applyFont="1"/>
    <xf numFmtId="164" fontId="54" fillId="36" borderId="0" xfId="23" applyNumberFormat="1" applyFont="1" applyFill="1" applyAlignment="1">
      <alignment horizontal="right"/>
    </xf>
    <xf numFmtId="49" fontId="56" fillId="0" borderId="0" xfId="0" applyNumberFormat="1" applyFont="1" applyAlignment="1">
      <alignment horizontal="center"/>
    </xf>
    <xf numFmtId="0" fontId="22" fillId="0" borderId="0" xfId="0" applyFont="1" applyAlignment="1">
      <alignment horizontal="center" vertical="top"/>
    </xf>
    <xf numFmtId="0" fontId="58" fillId="0" borderId="0" xfId="0" applyFont="1" applyFill="1" applyAlignment="1">
      <alignment horizontal="center"/>
    </xf>
    <xf numFmtId="37" fontId="53" fillId="0" borderId="0" xfId="0" applyNumberFormat="1" applyFont="1" applyFill="1"/>
    <xf numFmtId="0" fontId="0" fillId="36" borderId="0" xfId="0" quotePrefix="1" applyFont="1" applyFill="1" applyAlignment="1">
      <alignment horizontal="left" indent="1"/>
    </xf>
    <xf numFmtId="0" fontId="21" fillId="0" borderId="3" xfId="0" applyNumberFormat="1" applyFont="1" applyFill="1" applyBorder="1" applyAlignment="1">
      <alignment horizontal="left"/>
    </xf>
    <xf numFmtId="0" fontId="21" fillId="0" borderId="3" xfId="97" applyNumberFormat="1" applyFont="1" applyFill="1" applyBorder="1" applyAlignment="1">
      <alignment horizontal="left"/>
    </xf>
    <xf numFmtId="0" fontId="21" fillId="0" borderId="3" xfId="0" applyNumberFormat="1" applyFont="1" applyFill="1" applyBorder="1"/>
    <xf numFmtId="0" fontId="21" fillId="0" borderId="3" xfId="0" quotePrefix="1" applyNumberFormat="1" applyFont="1" applyFill="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Fill="1" applyBorder="1" applyAlignment="1">
      <alignment horizontal="center"/>
    </xf>
    <xf numFmtId="10" fontId="21" fillId="36" borderId="0" xfId="0" applyNumberFormat="1" applyFont="1" applyFill="1" applyAlignment="1">
      <alignment horizontal="right"/>
    </xf>
    <xf numFmtId="0" fontId="163" fillId="0" borderId="0" xfId="0" applyFont="1" applyFill="1" applyAlignment="1">
      <alignment horizontal="center"/>
    </xf>
    <xf numFmtId="0" fontId="165" fillId="0" borderId="0" xfId="0" applyFont="1"/>
    <xf numFmtId="0" fontId="160" fillId="0" borderId="0" xfId="100" applyFont="1"/>
    <xf numFmtId="164" fontId="160" fillId="0" borderId="0" xfId="96" applyNumberFormat="1" applyFont="1" applyBorder="1" applyAlignment="1">
      <alignment horizontal="left" indent="1"/>
    </xf>
    <xf numFmtId="164" fontId="160" fillId="0" borderId="0" xfId="96" applyNumberFormat="1" applyFont="1" applyBorder="1"/>
    <xf numFmtId="0" fontId="160" fillId="0" borderId="0" xfId="0" applyFont="1" applyAlignment="1">
      <alignment horizontal="right" indent="1"/>
    </xf>
    <xf numFmtId="42" fontId="160" fillId="0" borderId="0" xfId="0" quotePrefix="1" applyNumberFormat="1" applyFont="1" applyAlignment="1">
      <alignment horizontal="center"/>
    </xf>
    <xf numFmtId="0" fontId="21" fillId="36" borderId="0" xfId="35" applyFont="1" applyFill="1" applyBorder="1" applyAlignment="1">
      <alignment horizontal="left" vertical="top" indent="2"/>
    </xf>
    <xf numFmtId="164" fontId="160" fillId="0" borderId="0" xfId="0" quotePrefix="1" applyNumberFormat="1" applyFont="1" applyFill="1" applyAlignment="1">
      <alignment horizontal="right" wrapText="1"/>
    </xf>
    <xf numFmtId="0" fontId="21" fillId="0" borderId="58" xfId="126" applyFont="1" applyFill="1" applyBorder="1" applyAlignment="1">
      <alignment horizontal="center"/>
    </xf>
    <xf numFmtId="0" fontId="21" fillId="0" borderId="0" xfId="126" quotePrefix="1" applyFont="1" applyFill="1"/>
    <xf numFmtId="0" fontId="21" fillId="0" borderId="0" xfId="0" applyFont="1" applyAlignment="1"/>
    <xf numFmtId="2" fontId="21" fillId="0" borderId="3" xfId="126" applyNumberFormat="1" applyFont="1" applyBorder="1" applyAlignment="1">
      <alignment horizontal="center" wrapText="1"/>
    </xf>
    <xf numFmtId="168" fontId="21" fillId="36" borderId="0" xfId="0" applyNumberFormat="1" applyFont="1" applyFill="1" applyAlignment="1">
      <alignment horizontal="left"/>
    </xf>
    <xf numFmtId="208" fontId="0" fillId="36" borderId="0" xfId="0" applyNumberFormat="1" applyFill="1" applyAlignment="1">
      <alignment horizontal="center"/>
    </xf>
    <xf numFmtId="0" fontId="21" fillId="36" borderId="0" xfId="125" quotePrefix="1" applyFont="1" applyFill="1"/>
    <xf numFmtId="208" fontId="0" fillId="36" borderId="0" xfId="0" quotePrefix="1" applyNumberFormat="1" applyFill="1" applyAlignment="1">
      <alignment horizontal="center"/>
    </xf>
    <xf numFmtId="208" fontId="21" fillId="36" borderId="0" xfId="0" quotePrefix="1" applyNumberFormat="1" applyFont="1" applyFill="1" applyAlignment="1">
      <alignment horizontal="center"/>
    </xf>
    <xf numFmtId="0" fontId="51" fillId="0" borderId="0" xfId="0" applyFont="1"/>
    <xf numFmtId="164" fontId="53" fillId="0" borderId="0" xfId="0" applyNumberFormat="1" applyFont="1" applyFill="1" applyBorder="1"/>
    <xf numFmtId="0" fontId="72" fillId="0" borderId="0" xfId="0" applyFont="1" applyFill="1"/>
    <xf numFmtId="10" fontId="72" fillId="0" borderId="0" xfId="0" applyNumberFormat="1" applyFont="1" applyFill="1"/>
    <xf numFmtId="0" fontId="58" fillId="0" borderId="0" xfId="0" applyFont="1" applyAlignment="1">
      <alignment horizontal="center"/>
    </xf>
    <xf numFmtId="0" fontId="58" fillId="0" borderId="0" xfId="0" quotePrefix="1" applyFont="1" applyAlignment="1">
      <alignment horizontal="center"/>
    </xf>
    <xf numFmtId="0" fontId="166" fillId="0" borderId="0" xfId="0" applyFont="1" applyAlignment="1">
      <alignment horizontal="center"/>
    </xf>
    <xf numFmtId="10" fontId="160" fillId="0" borderId="0" xfId="0" applyNumberFormat="1" applyFont="1"/>
    <xf numFmtId="0" fontId="22" fillId="0" borderId="0" xfId="100" applyFont="1" applyAlignment="1">
      <alignment horizontal="left"/>
    </xf>
    <xf numFmtId="0" fontId="21" fillId="36" borderId="0" xfId="100" applyFont="1" applyFill="1" applyBorder="1" applyAlignment="1" applyProtection="1">
      <alignment horizontal="left" indent="1"/>
      <protection locked="0"/>
    </xf>
    <xf numFmtId="0" fontId="21" fillId="0" borderId="0" xfId="0" applyFont="1" applyFill="1" applyBorder="1" applyAlignment="1">
      <alignment horizontal="left" wrapText="1"/>
    </xf>
    <xf numFmtId="10" fontId="160" fillId="0" borderId="0" xfId="0" applyNumberFormat="1" applyFont="1" applyFill="1"/>
    <xf numFmtId="10" fontId="21" fillId="0" borderId="0" xfId="0" quotePrefix="1" applyNumberFormat="1" applyFont="1"/>
    <xf numFmtId="0" fontId="53" fillId="0" borderId="0" xfId="0" applyFont="1"/>
    <xf numFmtId="0" fontId="168" fillId="0" borderId="0" xfId="0" applyFont="1" applyAlignment="1">
      <alignment horizontal="center"/>
    </xf>
    <xf numFmtId="0" fontId="170" fillId="0" borderId="0" xfId="126" applyFont="1"/>
    <xf numFmtId="0" fontId="66" fillId="0" borderId="0" xfId="0" applyFont="1"/>
    <xf numFmtId="0" fontId="21" fillId="0" borderId="0" xfId="0" applyFont="1" applyAlignment="1">
      <alignment horizontal="left" vertical="center" indent="1"/>
    </xf>
    <xf numFmtId="0" fontId="21" fillId="0" borderId="0" xfId="0" applyFont="1" applyAlignment="1">
      <alignment horizontal="left" vertical="center"/>
    </xf>
    <xf numFmtId="164" fontId="21" fillId="36" borderId="0" xfId="23" applyNumberFormat="1" applyFont="1" applyFill="1"/>
    <xf numFmtId="0" fontId="22" fillId="36" borderId="0" xfId="100" applyFon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21" fillId="36" borderId="0" xfId="100" applyFont="1" applyFill="1" applyAlignment="1" applyProtection="1">
      <alignment horizontal="left" indent="1"/>
      <protection locked="0"/>
    </xf>
    <xf numFmtId="10" fontId="44" fillId="36" borderId="0" xfId="131" quotePrefix="1" applyNumberFormat="1" applyFill="1" applyAlignment="1">
      <alignment horizontal="left"/>
    </xf>
    <xf numFmtId="0" fontId="171" fillId="36" borderId="0" xfId="0" applyFont="1" applyFill="1" applyAlignment="1">
      <alignment horizontal="center"/>
    </xf>
    <xf numFmtId="0" fontId="67" fillId="36" borderId="0" xfId="0" applyFont="1" applyFill="1" applyAlignment="1">
      <alignment vertical="center"/>
    </xf>
    <xf numFmtId="14" fontId="0" fillId="0" borderId="0" xfId="0" applyNumberFormat="1" applyFill="1"/>
    <xf numFmtId="164" fontId="28" fillId="36" borderId="0" xfId="100" applyNumberFormat="1" applyFont="1" applyFill="1"/>
    <xf numFmtId="3" fontId="21" fillId="36" borderId="0" xfId="0" applyNumberFormat="1" applyFont="1" applyFill="1"/>
    <xf numFmtId="3" fontId="21" fillId="36" borderId="0" xfId="247" applyNumberFormat="1" applyFont="1" applyFill="1"/>
    <xf numFmtId="1" fontId="24" fillId="36" borderId="3" xfId="22" quotePrefix="1" applyNumberFormat="1" applyFont="1" applyFill="1" applyBorder="1" applyAlignment="1">
      <alignment horizontal="center"/>
    </xf>
    <xf numFmtId="1" fontId="24" fillId="36" borderId="3" xfId="0" applyNumberFormat="1" applyFont="1" applyFill="1" applyBorder="1" applyAlignment="1">
      <alignment horizontal="center"/>
    </xf>
    <xf numFmtId="3" fontId="21" fillId="36" borderId="3" xfId="97" quotePrefix="1" applyNumberFormat="1" applyFont="1" applyFill="1" applyBorder="1" applyAlignment="1">
      <alignment horizontal="center"/>
    </xf>
    <xf numFmtId="3" fontId="24" fillId="36" borderId="3" xfId="22" quotePrefix="1" applyNumberFormat="1" applyFont="1" applyFill="1" applyBorder="1" applyAlignment="1">
      <alignment horizontal="center"/>
    </xf>
    <xf numFmtId="3" fontId="24" fillId="0" borderId="3" xfId="22" quotePrefix="1" applyNumberFormat="1" applyFont="1" applyFill="1" applyBorder="1" applyAlignment="1">
      <alignment horizontal="center"/>
    </xf>
    <xf numFmtId="3" fontId="24" fillId="0" borderId="3" xfId="0" applyNumberFormat="1" applyFont="1" applyFill="1" applyBorder="1" applyAlignment="1">
      <alignment horizontal="center"/>
    </xf>
    <xf numFmtId="3" fontId="21" fillId="36" borderId="3" xfId="0" applyNumberFormat="1" applyFont="1" applyFill="1" applyBorder="1" applyAlignment="1">
      <alignment horizontal="center"/>
    </xf>
    <xf numFmtId="3" fontId="24" fillId="0" borderId="3" xfId="22"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4" fillId="36" borderId="3" xfId="0" applyNumberFormat="1" applyFont="1" applyFill="1" applyBorder="1" applyAlignment="1">
      <alignment horizontal="center"/>
    </xf>
    <xf numFmtId="0" fontId="21" fillId="0" borderId="4" xfId="0" applyNumberFormat="1" applyFont="1" applyFill="1" applyBorder="1"/>
    <xf numFmtId="3" fontId="22" fillId="0" borderId="3" xfId="22" quotePrefix="1" applyNumberFormat="1" applyFont="1" applyFill="1" applyBorder="1" applyAlignment="1">
      <alignment horizontal="center"/>
    </xf>
    <xf numFmtId="3" fontId="22" fillId="37" borderId="3" xfId="22" quotePrefix="1" applyNumberFormat="1" applyFont="1" applyFill="1" applyBorder="1" applyAlignment="1">
      <alignment horizontal="center"/>
    </xf>
    <xf numFmtId="3" fontId="22" fillId="0" borderId="3" xfId="0" applyNumberFormat="1" applyFont="1" applyFill="1" applyBorder="1" applyAlignment="1">
      <alignment horizontal="center"/>
    </xf>
    <xf numFmtId="3" fontId="21" fillId="36" borderId="3" xfId="97"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0" applyNumberFormat="1" applyFont="1" applyBorder="1" applyAlignment="1">
      <alignment horizontal="center"/>
    </xf>
    <xf numFmtId="0" fontId="0" fillId="0" borderId="0" xfId="0" applyAlignment="1">
      <alignment horizontal="center"/>
    </xf>
    <xf numFmtId="3" fontId="22" fillId="0" borderId="3" xfId="22" applyNumberFormat="1" applyFont="1" applyFill="1" applyBorder="1" applyAlignment="1">
      <alignment horizontal="center"/>
    </xf>
    <xf numFmtId="3" fontId="22" fillId="36" borderId="3" xfId="97" applyNumberFormat="1" applyFont="1" applyFill="1" applyBorder="1" applyAlignment="1">
      <alignment horizontal="center"/>
    </xf>
    <xf numFmtId="164" fontId="21" fillId="36" borderId="0" xfId="0" applyNumberFormat="1" applyFont="1" applyFill="1" applyBorder="1" applyAlignment="1">
      <alignment horizontal="right"/>
    </xf>
    <xf numFmtId="0" fontId="21" fillId="36" borderId="3" xfId="0" quotePrefix="1" applyNumberFormat="1" applyFont="1" applyFill="1" applyBorder="1" applyAlignment="1">
      <alignment horizontal="left"/>
    </xf>
    <xf numFmtId="0" fontId="21" fillId="36" borderId="4" xfId="0" applyNumberFormat="1" applyFont="1" applyFill="1" applyBorder="1"/>
    <xf numFmtId="1" fontId="21" fillId="36" borderId="3" xfId="22" quotePrefix="1" applyNumberFormat="1" applyFont="1" applyFill="1" applyBorder="1" applyAlignment="1">
      <alignment horizontal="center"/>
    </xf>
    <xf numFmtId="1" fontId="21" fillId="36" borderId="3" xfId="0" applyNumberFormat="1" applyFont="1" applyFill="1" applyBorder="1" applyAlignment="1">
      <alignment horizontal="center"/>
    </xf>
    <xf numFmtId="0" fontId="21" fillId="36" borderId="3" xfId="0" quotePrefix="1" applyNumberFormat="1" applyFont="1" applyFill="1" applyBorder="1"/>
    <xf numFmtId="0" fontId="21" fillId="36" borderId="3" xfId="0" applyNumberFormat="1" applyFont="1" applyFill="1" applyBorder="1"/>
    <xf numFmtId="0" fontId="21" fillId="36" borderId="3" xfId="0" applyFont="1" applyFill="1" applyBorder="1" applyAlignment="1">
      <alignment horizontal="center"/>
    </xf>
    <xf numFmtId="0" fontId="21" fillId="36" borderId="3" xfId="0" applyNumberFormat="1" applyFont="1" applyFill="1" applyBorder="1" applyAlignment="1">
      <alignment horizontal="left"/>
    </xf>
    <xf numFmtId="0" fontId="21" fillId="36" borderId="3" xfId="22" applyNumberFormat="1" applyFont="1" applyFill="1" applyBorder="1" applyAlignment="1">
      <alignment horizontal="left"/>
    </xf>
    <xf numFmtId="177" fontId="21" fillId="36" borderId="3" xfId="22" applyNumberFormat="1" applyFont="1" applyFill="1" applyBorder="1"/>
    <xf numFmtId="177" fontId="21" fillId="36" borderId="3" xfId="22" applyNumberFormat="1" applyFont="1" applyFill="1" applyBorder="1" applyAlignment="1">
      <alignment horizontal="center"/>
    </xf>
    <xf numFmtId="3" fontId="21" fillId="0" borderId="3" xfId="97" quotePrefix="1" applyNumberFormat="1" applyFont="1" applyFill="1" applyBorder="1" applyAlignment="1">
      <alignment horizontal="center"/>
    </xf>
    <xf numFmtId="1" fontId="21" fillId="36" borderId="0" xfId="126" applyNumberFormat="1" applyFill="1"/>
    <xf numFmtId="1" fontId="21" fillId="36" borderId="0" xfId="129" applyNumberFormat="1" applyFont="1" applyFill="1"/>
    <xf numFmtId="1" fontId="21" fillId="36" borderId="0" xfId="130" applyNumberFormat="1" applyFont="1" applyFill="1"/>
    <xf numFmtId="1" fontId="21" fillId="36" borderId="0" xfId="129" applyNumberFormat="1" applyFont="1" applyFill="1" applyBorder="1"/>
    <xf numFmtId="1" fontId="21" fillId="36" borderId="0" xfId="130" applyNumberFormat="1" applyFont="1" applyFill="1" applyBorder="1"/>
    <xf numFmtId="1" fontId="21" fillId="36" borderId="0" xfId="128" applyNumberFormat="1" applyFont="1" applyFill="1"/>
    <xf numFmtId="1" fontId="44" fillId="36" borderId="0" xfId="129" applyNumberFormat="1" applyFill="1"/>
    <xf numFmtId="1" fontId="44" fillId="36" borderId="0" xfId="130" applyNumberFormat="1" applyFill="1"/>
    <xf numFmtId="164" fontId="0" fillId="0" borderId="0" xfId="0" applyNumberFormat="1" applyFill="1" applyAlignment="1">
      <alignment horizontal="right" indent="1"/>
    </xf>
    <xf numFmtId="10" fontId="54" fillId="36" borderId="0" xfId="0" applyNumberFormat="1" applyFont="1" applyFill="1" applyAlignment="1">
      <alignment horizontal="center"/>
    </xf>
    <xf numFmtId="165" fontId="21" fillId="0" borderId="0" xfId="0" applyNumberFormat="1" applyFont="1"/>
    <xf numFmtId="164" fontId="54" fillId="36" borderId="0" xfId="53892" applyNumberFormat="1" applyFont="1" applyFill="1"/>
    <xf numFmtId="168" fontId="24" fillId="0" borderId="0" xfId="0" applyNumberFormat="1" applyFont="1" applyFill="1"/>
    <xf numFmtId="164" fontId="21" fillId="0" borderId="0" xfId="0" quotePrefix="1" applyNumberFormat="1" applyFont="1" applyFill="1" applyAlignment="1">
      <alignment horizontal="right"/>
    </xf>
    <xf numFmtId="164" fontId="36" fillId="0" borderId="0" xfId="0" quotePrefix="1" applyNumberFormat="1" applyFont="1" applyFill="1" applyAlignment="1">
      <alignment horizontal="right"/>
    </xf>
    <xf numFmtId="164" fontId="54" fillId="0" borderId="0" xfId="0" applyNumberFormat="1" applyFont="1" applyFill="1" applyAlignment="1">
      <alignment horizontal="right"/>
    </xf>
    <xf numFmtId="164" fontId="22" fillId="0" borderId="0" xfId="0" applyNumberFormat="1" applyFont="1" applyFill="1" applyBorder="1" applyAlignment="1">
      <alignment horizontal="center"/>
    </xf>
    <xf numFmtId="165" fontId="0" fillId="0" borderId="0" xfId="0" applyNumberFormat="1" applyFill="1" applyAlignment="1">
      <alignment horizontal="center"/>
    </xf>
    <xf numFmtId="165" fontId="28" fillId="0" borderId="0" xfId="0" applyNumberFormat="1" applyFont="1" applyFill="1" applyAlignment="1">
      <alignment horizontal="center"/>
    </xf>
    <xf numFmtId="165" fontId="24" fillId="0" borderId="0" xfId="0" applyNumberFormat="1" applyFont="1" applyFill="1" applyAlignment="1">
      <alignment horizontal="center"/>
    </xf>
    <xf numFmtId="164" fontId="21" fillId="34" borderId="0" xfId="0" applyNumberFormat="1" applyFont="1" applyFill="1" applyBorder="1"/>
    <xf numFmtId="164" fontId="0" fillId="36" borderId="0" xfId="0" applyNumberFormat="1" applyFill="1" applyBorder="1"/>
    <xf numFmtId="167" fontId="21" fillId="0" borderId="0" xfId="19" applyNumberFormat="1" applyFont="1" applyFill="1"/>
    <xf numFmtId="10" fontId="21" fillId="0" borderId="0" xfId="126" applyNumberFormat="1" applyFill="1" applyBorder="1"/>
    <xf numFmtId="164" fontId="21" fillId="0" borderId="3" xfId="126" applyNumberFormat="1" applyFill="1" applyBorder="1"/>
    <xf numFmtId="0" fontId="21" fillId="0" borderId="0" xfId="126" applyNumberFormat="1" applyFill="1" applyAlignment="1">
      <alignment horizontal="center"/>
    </xf>
    <xf numFmtId="0" fontId="21" fillId="0" borderId="0" xfId="126" quotePrefix="1" applyNumberFormat="1" applyFont="1" applyFill="1" applyAlignment="1">
      <alignment horizontal="center"/>
    </xf>
    <xf numFmtId="0" fontId="21" fillId="0" borderId="0" xfId="126" quotePrefix="1" applyNumberFormat="1" applyFont="1" applyFill="1" applyBorder="1" applyAlignment="1">
      <alignment horizontal="center"/>
    </xf>
    <xf numFmtId="164" fontId="21" fillId="0" borderId="18" xfId="126" applyNumberFormat="1" applyFill="1" applyBorder="1"/>
    <xf numFmtId="2" fontId="21" fillId="0" borderId="0" xfId="126" applyNumberFormat="1" applyFont="1" applyFill="1"/>
    <xf numFmtId="0" fontId="21" fillId="0" borderId="0" xfId="126" applyNumberFormat="1" applyFont="1" applyFill="1"/>
    <xf numFmtId="164" fontId="21" fillId="0" borderId="3" xfId="126" applyNumberFormat="1" applyFont="1" applyFill="1" applyBorder="1"/>
    <xf numFmtId="164" fontId="21" fillId="0" borderId="0" xfId="126" applyNumberFormat="1" applyFill="1" applyAlignment="1">
      <alignment horizontal="right"/>
    </xf>
    <xf numFmtId="166" fontId="21" fillId="0" borderId="17" xfId="126" quotePrefix="1" applyNumberFormat="1" applyFill="1" applyBorder="1" applyAlignment="1">
      <alignment horizontal="center"/>
    </xf>
    <xf numFmtId="173" fontId="21" fillId="0" borderId="0" xfId="0" applyNumberFormat="1" applyFont="1" applyFill="1"/>
    <xf numFmtId="173" fontId="21" fillId="0" borderId="0" xfId="126" applyNumberFormat="1" applyFont="1" applyFill="1" applyAlignment="1">
      <alignment horizontal="center"/>
    </xf>
    <xf numFmtId="173" fontId="21" fillId="0" borderId="60" xfId="0" applyNumberFormat="1" applyFont="1" applyFill="1" applyBorder="1"/>
    <xf numFmtId="173" fontId="21" fillId="0" borderId="62" xfId="0" applyNumberFormat="1" applyFont="1" applyFill="1" applyBorder="1"/>
    <xf numFmtId="164" fontId="21" fillId="0" borderId="0" xfId="126" applyNumberFormat="1" applyFill="1" applyBorder="1" applyAlignment="1">
      <alignment horizontal="right"/>
    </xf>
    <xf numFmtId="0" fontId="21" fillId="0" borderId="18" xfId="126" applyNumberFormat="1" applyFill="1" applyBorder="1" applyAlignment="1">
      <alignment horizontal="center"/>
    </xf>
    <xf numFmtId="173" fontId="0" fillId="0" borderId="0" xfId="0" applyNumberFormat="1" applyFill="1"/>
    <xf numFmtId="169" fontId="0" fillId="0" borderId="0" xfId="0" applyNumberFormat="1" applyFill="1"/>
    <xf numFmtId="164" fontId="24" fillId="0" borderId="0" xfId="0" quotePrefix="1" applyNumberFormat="1" applyFont="1" applyFill="1" applyAlignment="1">
      <alignment horizontal="center"/>
    </xf>
    <xf numFmtId="168" fontId="28" fillId="0" borderId="0" xfId="0" applyNumberFormat="1" applyFont="1" applyFill="1"/>
    <xf numFmtId="164" fontId="0" fillId="0" borderId="0" xfId="0" quotePrefix="1" applyNumberFormat="1" applyFill="1" applyAlignment="1">
      <alignment horizontal="center"/>
    </xf>
    <xf numFmtId="0" fontId="57" fillId="0" borderId="0" xfId="0" applyFont="1" applyFill="1" applyAlignment="1">
      <alignment horizontal="center"/>
    </xf>
    <xf numFmtId="10" fontId="21" fillId="0" borderId="0" xfId="0" applyNumberFormat="1" applyFont="1" applyAlignment="1">
      <alignment horizontal="left" indent="1"/>
    </xf>
    <xf numFmtId="164" fontId="21" fillId="36" borderId="0" xfId="0" quotePrefix="1" applyNumberFormat="1" applyFont="1" applyFill="1" applyBorder="1" applyAlignment="1">
      <alignment horizontal="right"/>
    </xf>
    <xf numFmtId="164" fontId="28" fillId="36" borderId="0" xfId="0" quotePrefix="1" applyNumberFormat="1" applyFont="1" applyFill="1" applyBorder="1" applyAlignment="1">
      <alignment horizontal="right"/>
    </xf>
    <xf numFmtId="164" fontId="28" fillId="36" borderId="0" xfId="0" applyNumberFormat="1" applyFont="1" applyFill="1" applyBorder="1" applyAlignment="1">
      <alignment horizontal="right"/>
    </xf>
    <xf numFmtId="0" fontId="167" fillId="0" borderId="0" xfId="0" applyFont="1" applyAlignment="1">
      <alignment horizontal="center"/>
    </xf>
    <xf numFmtId="0" fontId="0" fillId="0" borderId="0" xfId="0" applyAlignment="1">
      <alignment horizontal="center"/>
    </xf>
    <xf numFmtId="0" fontId="168" fillId="0" borderId="0" xfId="0" applyFont="1" applyAlignment="1">
      <alignment horizontal="center"/>
    </xf>
    <xf numFmtId="0" fontId="169" fillId="0" borderId="0" xfId="0" applyFont="1" applyAlignment="1">
      <alignment horizontal="center"/>
    </xf>
    <xf numFmtId="0" fontId="51" fillId="0" borderId="0" xfId="0" applyFont="1" applyAlignment="1">
      <alignment horizontal="center" wrapText="1"/>
    </xf>
    <xf numFmtId="0" fontId="51" fillId="0" borderId="0" xfId="0" applyFont="1" applyAlignment="1">
      <alignment horizontal="center"/>
    </xf>
    <xf numFmtId="0" fontId="67" fillId="36" borderId="0" xfId="0" applyFont="1" applyFill="1" applyAlignment="1">
      <alignment vertical="center"/>
    </xf>
    <xf numFmtId="0" fontId="21" fillId="0" borderId="0" xfId="0" applyNumberFormat="1" applyFont="1" applyFill="1" applyAlignment="1">
      <alignment horizontal="left"/>
    </xf>
    <xf numFmtId="0" fontId="21" fillId="36" borderId="0" xfId="0" applyNumberFormat="1" applyFont="1" applyFill="1" applyAlignment="1">
      <alignment horizontal="center"/>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Fill="1" applyBorder="1" applyAlignment="1">
      <alignment horizontal="center"/>
    </xf>
    <xf numFmtId="0" fontId="22" fillId="0" borderId="6" xfId="28" applyFont="1" applyFill="1" applyBorder="1" applyAlignment="1">
      <alignment horizontal="center"/>
    </xf>
    <xf numFmtId="0" fontId="22" fillId="0" borderId="9" xfId="28" applyFont="1" applyFill="1" applyBorder="1" applyAlignment="1">
      <alignment horizontal="center"/>
    </xf>
    <xf numFmtId="0" fontId="22" fillId="0" borderId="4" xfId="28" applyFont="1" applyFill="1" applyBorder="1" applyAlignment="1">
      <alignment horizontal="center"/>
    </xf>
    <xf numFmtId="0" fontId="22" fillId="0" borderId="3" xfId="28" applyFont="1" applyBorder="1" applyAlignment="1"/>
    <xf numFmtId="0" fontId="21" fillId="0" borderId="0"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wrapText="1"/>
    </xf>
    <xf numFmtId="0" fontId="22" fillId="0" borderId="6" xfId="0" applyNumberFormat="1" applyFont="1" applyFill="1" applyBorder="1" applyAlignment="1"/>
    <xf numFmtId="0" fontId="0" fillId="0" borderId="9" xfId="0" applyBorder="1" applyAlignment="1"/>
    <xf numFmtId="0" fontId="0" fillId="0" borderId="4" xfId="0" applyBorder="1" applyAlignment="1"/>
    <xf numFmtId="0" fontId="24" fillId="0" borderId="0" xfId="0" applyFont="1" applyFill="1" applyBorder="1" applyAlignment="1">
      <alignment vertical="top" wrapText="1"/>
    </xf>
    <xf numFmtId="0" fontId="0" fillId="0" borderId="0" xfId="0" applyAlignment="1">
      <alignment vertical="top" wrapText="1"/>
    </xf>
    <xf numFmtId="0" fontId="0" fillId="0" borderId="0" xfId="0" applyAlignment="1"/>
    <xf numFmtId="0" fontId="0" fillId="0" borderId="0" xfId="0" applyFill="1" applyAlignment="1"/>
    <xf numFmtId="0" fontId="22" fillId="0" borderId="10" xfId="0" applyNumberFormat="1" applyFont="1" applyFill="1" applyBorder="1" applyAlignment="1">
      <alignment wrapText="1"/>
    </xf>
    <xf numFmtId="0" fontId="0" fillId="0" borderId="8" xfId="0" applyBorder="1" applyAlignment="1">
      <alignment wrapText="1"/>
    </xf>
    <xf numFmtId="0" fontId="0" fillId="0" borderId="11" xfId="0" applyBorder="1" applyAlignment="1">
      <alignment wrapText="1"/>
    </xf>
    <xf numFmtId="0" fontId="22" fillId="0" borderId="6" xfId="0" applyFont="1" applyFill="1" applyBorder="1" applyAlignment="1"/>
    <xf numFmtId="0" fontId="21" fillId="0" borderId="0" xfId="0" applyFont="1" applyFill="1" applyBorder="1" applyAlignment="1">
      <alignment wrapText="1"/>
    </xf>
    <xf numFmtId="0" fontId="0" fillId="0" borderId="0" xfId="0" applyAlignment="1">
      <alignment wrapText="1"/>
    </xf>
    <xf numFmtId="0" fontId="24" fillId="0" borderId="6" xfId="0" applyFont="1" applyFill="1" applyBorder="1" applyAlignment="1">
      <alignment horizontal="left"/>
    </xf>
    <xf numFmtId="0" fontId="24" fillId="0" borderId="4" xfId="0" applyFont="1" applyFill="1" applyBorder="1" applyAlignment="1">
      <alignment horizontal="left"/>
    </xf>
    <xf numFmtId="0" fontId="22" fillId="0" borderId="3" xfId="0" applyFont="1" applyFill="1" applyBorder="1" applyAlignment="1">
      <alignment wrapText="1"/>
    </xf>
    <xf numFmtId="0" fontId="0" fillId="0" borderId="3" xfId="0" applyBorder="1" applyAlignment="1">
      <alignment wrapText="1"/>
    </xf>
    <xf numFmtId="0" fontId="0" fillId="0" borderId="9" xfId="0" applyFill="1" applyBorder="1" applyAlignment="1"/>
    <xf numFmtId="0" fontId="0" fillId="0" borderId="4" xfId="0" applyFill="1" applyBorder="1" applyAlignment="1"/>
    <xf numFmtId="39" fontId="24" fillId="0" borderId="6" xfId="22" applyNumberFormat="1" applyFont="1" applyBorder="1" applyAlignment="1">
      <alignment horizontal="center"/>
    </xf>
    <xf numFmtId="0" fontId="0" fillId="0" borderId="9" xfId="0" applyBorder="1"/>
    <xf numFmtId="0" fontId="0" fillId="0" borderId="4" xfId="0" applyBorder="1"/>
    <xf numFmtId="0" fontId="22" fillId="0" borderId="6" xfId="0" applyNumberFormat="1" applyFont="1" applyFill="1" applyBorder="1" applyAlignment="1">
      <alignment wrapText="1"/>
    </xf>
    <xf numFmtId="0" fontId="0" fillId="0" borderId="9" xfId="0" applyBorder="1" applyAlignment="1">
      <alignment wrapText="1"/>
    </xf>
    <xf numFmtId="0" fontId="0" fillId="0" borderId="4" xfId="0" applyBorder="1" applyAlignment="1">
      <alignment wrapText="1"/>
    </xf>
    <xf numFmtId="0" fontId="22" fillId="0" borderId="3" xfId="0" applyNumberFormat="1" applyFont="1" applyFill="1" applyBorder="1" applyAlignment="1">
      <alignment wrapText="1"/>
    </xf>
    <xf numFmtId="0" fontId="21" fillId="0" borderId="12" xfId="126" applyFont="1" applyFill="1" applyBorder="1" applyAlignment="1">
      <alignment horizontal="center"/>
    </xf>
    <xf numFmtId="0" fontId="21" fillId="0" borderId="14" xfId="126" applyFont="1" applyFill="1" applyBorder="1" applyAlignment="1">
      <alignment horizontal="center"/>
    </xf>
    <xf numFmtId="0" fontId="0" fillId="0" borderId="14" xfId="0" applyBorder="1" applyAlignment="1"/>
    <xf numFmtId="0" fontId="0" fillId="0" borderId="13" xfId="0" applyBorder="1" applyAlignment="1"/>
    <xf numFmtId="0" fontId="21" fillId="0" borderId="13" xfId="126" applyFont="1" applyFill="1" applyBorder="1" applyAlignment="1">
      <alignment horizontal="center"/>
    </xf>
    <xf numFmtId="173" fontId="21" fillId="0" borderId="59" xfId="126" quotePrefix="1" applyNumberFormat="1" applyFont="1" applyFill="1" applyBorder="1" applyAlignment="1">
      <alignment horizontal="center" vertical="center"/>
    </xf>
    <xf numFmtId="0" fontId="21" fillId="0" borderId="61" xfId="0" applyFont="1" applyFill="1" applyBorder="1" applyAlignment="1">
      <alignment horizontal="center" vertical="center"/>
    </xf>
  </cellXfs>
  <cellStyles count="53896">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5" xr:uid="{B6908F55-9A8D-450E-85B7-3CFC4784D8AA}"/>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4" xr:uid="{296D3CCC-F420-40CF-9DC4-A724600D3F2C}"/>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2" xr:uid="{E1D9AE0A-4526-4B81-8E80-B2863FB4D788}"/>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29F0000}"/>
    <cellStyle name="Normal_Statement AD Period I 2004" xfId="36" xr:uid="{00000000-0005-0000-0000-0000539F0000}"/>
    <cellStyle name="Normal2" xfId="40661" xr:uid="{00000000-0005-0000-0000-0000549F0000}"/>
    <cellStyle name="Normal2 2" xfId="40662" xr:uid="{00000000-0005-0000-0000-0000559F0000}"/>
    <cellStyle name="Normal2 3" xfId="40663" xr:uid="{00000000-0005-0000-0000-0000569F0000}"/>
    <cellStyle name="Normal2 3 2" xfId="40664" xr:uid="{00000000-0005-0000-0000-0000579F0000}"/>
    <cellStyle name="Normal2 3 2 2" xfId="40665" xr:uid="{00000000-0005-0000-0000-0000589F0000}"/>
    <cellStyle name="Normal2 3 3" xfId="40666" xr:uid="{00000000-0005-0000-0000-0000599F0000}"/>
    <cellStyle name="Normal2 4" xfId="40667" xr:uid="{00000000-0005-0000-0000-00005A9F0000}"/>
    <cellStyle name="Normal2 4 2" xfId="40668" xr:uid="{00000000-0005-0000-0000-00005B9F0000}"/>
    <cellStyle name="Normal2 4 2 2" xfId="40669" xr:uid="{00000000-0005-0000-0000-00005C9F0000}"/>
    <cellStyle name="Normal2 4 3" xfId="40670" xr:uid="{00000000-0005-0000-0000-00005D9F0000}"/>
    <cellStyle name="Not In Use" xfId="40671" xr:uid="{00000000-0005-0000-0000-00005E9F0000}"/>
    <cellStyle name="Not In Use 2" xfId="40672" xr:uid="{00000000-0005-0000-0000-00005F9F0000}"/>
    <cellStyle name="Not In Use 2 2" xfId="40673" xr:uid="{00000000-0005-0000-0000-0000609F0000}"/>
    <cellStyle name="Not In Use 3" xfId="40674" xr:uid="{00000000-0005-0000-0000-0000619F0000}"/>
    <cellStyle name="Not In Use 3 2" xfId="40675" xr:uid="{00000000-0005-0000-0000-0000629F0000}"/>
    <cellStyle name="Not In Use 3 2 2" xfId="40676" xr:uid="{00000000-0005-0000-0000-0000639F0000}"/>
    <cellStyle name="Not In Use 3 3" xfId="40677" xr:uid="{00000000-0005-0000-0000-0000649F0000}"/>
    <cellStyle name="Not In Use 4" xfId="40678" xr:uid="{00000000-0005-0000-0000-0000659F0000}"/>
    <cellStyle name="Not In Use 4 2" xfId="40679" xr:uid="{00000000-0005-0000-0000-0000669F0000}"/>
    <cellStyle name="Not In Use 4 2 2" xfId="40680" xr:uid="{00000000-0005-0000-0000-0000679F0000}"/>
    <cellStyle name="Not In Use 4 3" xfId="40681" xr:uid="{00000000-0005-0000-0000-0000689F0000}"/>
    <cellStyle name="Not In Use 5" xfId="40682" xr:uid="{00000000-0005-0000-0000-0000699F0000}"/>
    <cellStyle name="Note 10" xfId="40683" xr:uid="{00000000-0005-0000-0000-00006A9F0000}"/>
    <cellStyle name="Note 10 2" xfId="40684" xr:uid="{00000000-0005-0000-0000-00006B9F0000}"/>
    <cellStyle name="Note 10 3" xfId="40685" xr:uid="{00000000-0005-0000-0000-00006C9F0000}"/>
    <cellStyle name="Note 11" xfId="40686" xr:uid="{00000000-0005-0000-0000-00006D9F0000}"/>
    <cellStyle name="Note 11 2" xfId="40687" xr:uid="{00000000-0005-0000-0000-00006E9F0000}"/>
    <cellStyle name="Note 12" xfId="40688" xr:uid="{00000000-0005-0000-0000-00006F9F0000}"/>
    <cellStyle name="Note 12 2" xfId="40689" xr:uid="{00000000-0005-0000-0000-0000709F0000}"/>
    <cellStyle name="Note 13" xfId="40690" xr:uid="{00000000-0005-0000-0000-0000719F0000}"/>
    <cellStyle name="Note 14" xfId="40691" xr:uid="{00000000-0005-0000-0000-0000729F0000}"/>
    <cellStyle name="Note 15" xfId="40692" xr:uid="{00000000-0005-0000-0000-0000739F0000}"/>
    <cellStyle name="Note 16" xfId="53889" xr:uid="{00000000-0005-0000-0000-0000749F0000}"/>
    <cellStyle name="Note 2" xfId="40693" xr:uid="{00000000-0005-0000-0000-0000759F0000}"/>
    <cellStyle name="Note 2 10" xfId="40694" xr:uid="{00000000-0005-0000-0000-0000769F0000}"/>
    <cellStyle name="Note 2 10 2" xfId="40695" xr:uid="{00000000-0005-0000-0000-0000779F0000}"/>
    <cellStyle name="Note 2 10 2 2" xfId="40696" xr:uid="{00000000-0005-0000-0000-0000789F0000}"/>
    <cellStyle name="Note 2 10 2 2 2" xfId="40697" xr:uid="{00000000-0005-0000-0000-0000799F0000}"/>
    <cellStyle name="Note 2 10 2 2 2 2" xfId="40698" xr:uid="{00000000-0005-0000-0000-00007A9F0000}"/>
    <cellStyle name="Note 2 10 2 2 2 2 2" xfId="40699" xr:uid="{00000000-0005-0000-0000-00007B9F0000}"/>
    <cellStyle name="Note 2 10 2 2 2 2 2 2" xfId="40700" xr:uid="{00000000-0005-0000-0000-00007C9F0000}"/>
    <cellStyle name="Note 2 10 2 2 2 2 3" xfId="40701" xr:uid="{00000000-0005-0000-0000-00007D9F0000}"/>
    <cellStyle name="Note 2 10 2 2 2 3" xfId="40702" xr:uid="{00000000-0005-0000-0000-00007E9F0000}"/>
    <cellStyle name="Note 2 10 2 2 2 3 2" xfId="40703" xr:uid="{00000000-0005-0000-0000-00007F9F0000}"/>
    <cellStyle name="Note 2 10 2 2 2 4" xfId="40704" xr:uid="{00000000-0005-0000-0000-0000809F0000}"/>
    <cellStyle name="Note 2 10 2 2 3" xfId="40705" xr:uid="{00000000-0005-0000-0000-0000819F0000}"/>
    <cellStyle name="Note 2 10 2 2 3 2" xfId="40706" xr:uid="{00000000-0005-0000-0000-0000829F0000}"/>
    <cellStyle name="Note 2 10 2 2 3 2 2" xfId="40707" xr:uid="{00000000-0005-0000-0000-0000839F0000}"/>
    <cellStyle name="Note 2 10 2 2 3 3" xfId="40708" xr:uid="{00000000-0005-0000-0000-0000849F0000}"/>
    <cellStyle name="Note 2 10 2 2 4" xfId="40709" xr:uid="{00000000-0005-0000-0000-0000859F0000}"/>
    <cellStyle name="Note 2 10 2 2 4 2" xfId="40710" xr:uid="{00000000-0005-0000-0000-0000869F0000}"/>
    <cellStyle name="Note 2 10 2 2 5" xfId="40711" xr:uid="{00000000-0005-0000-0000-0000879F0000}"/>
    <cellStyle name="Note 2 10 2 3" xfId="40712" xr:uid="{00000000-0005-0000-0000-0000889F0000}"/>
    <cellStyle name="Note 2 10 2 3 2" xfId="40713" xr:uid="{00000000-0005-0000-0000-0000899F0000}"/>
    <cellStyle name="Note 2 10 2 3 2 2" xfId="40714" xr:uid="{00000000-0005-0000-0000-00008A9F0000}"/>
    <cellStyle name="Note 2 10 2 3 3" xfId="40715" xr:uid="{00000000-0005-0000-0000-00008B9F0000}"/>
    <cellStyle name="Note 2 10 2 4" xfId="40716" xr:uid="{00000000-0005-0000-0000-00008C9F0000}"/>
    <cellStyle name="Note 2 10 2 4 2" xfId="40717" xr:uid="{00000000-0005-0000-0000-00008D9F0000}"/>
    <cellStyle name="Note 2 10 2 4 2 2" xfId="40718" xr:uid="{00000000-0005-0000-0000-00008E9F0000}"/>
    <cellStyle name="Note 2 10 2 4 2 2 2" xfId="40719" xr:uid="{00000000-0005-0000-0000-00008F9F0000}"/>
    <cellStyle name="Note 2 10 2 4 2 3" xfId="40720" xr:uid="{00000000-0005-0000-0000-0000909F0000}"/>
    <cellStyle name="Note 2 10 2 4 3" xfId="40721" xr:uid="{00000000-0005-0000-0000-0000919F0000}"/>
    <cellStyle name="Note 2 10 2 4 3 2" xfId="40722" xr:uid="{00000000-0005-0000-0000-0000929F0000}"/>
    <cellStyle name="Note 2 10 2 4 4" xfId="40723" xr:uid="{00000000-0005-0000-0000-0000939F0000}"/>
    <cellStyle name="Note 2 10 2 5" xfId="40724" xr:uid="{00000000-0005-0000-0000-0000949F0000}"/>
    <cellStyle name="Note 2 10 2 5 2" xfId="40725" xr:uid="{00000000-0005-0000-0000-0000959F0000}"/>
    <cellStyle name="Note 2 10 2 5 2 2" xfId="40726" xr:uid="{00000000-0005-0000-0000-0000969F0000}"/>
    <cellStyle name="Note 2 10 2 5 3" xfId="40727" xr:uid="{00000000-0005-0000-0000-0000979F0000}"/>
    <cellStyle name="Note 2 10 2 6" xfId="40728" xr:uid="{00000000-0005-0000-0000-0000989F0000}"/>
    <cellStyle name="Note 2 10 2 6 2" xfId="40729" xr:uid="{00000000-0005-0000-0000-0000999F0000}"/>
    <cellStyle name="Note 2 10 2 7" xfId="40730" xr:uid="{00000000-0005-0000-0000-00009A9F0000}"/>
    <cellStyle name="Note 2 10 3" xfId="40731" xr:uid="{00000000-0005-0000-0000-00009B9F0000}"/>
    <cellStyle name="Note 2 10 3 2" xfId="40732" xr:uid="{00000000-0005-0000-0000-00009C9F0000}"/>
    <cellStyle name="Note 2 10 3 2 2" xfId="40733" xr:uid="{00000000-0005-0000-0000-00009D9F0000}"/>
    <cellStyle name="Note 2 10 3 2 2 2" xfId="40734" xr:uid="{00000000-0005-0000-0000-00009E9F0000}"/>
    <cellStyle name="Note 2 10 3 2 2 2 2" xfId="40735" xr:uid="{00000000-0005-0000-0000-00009F9F0000}"/>
    <cellStyle name="Note 2 10 3 2 2 2 2 2" xfId="40736" xr:uid="{00000000-0005-0000-0000-0000A09F0000}"/>
    <cellStyle name="Note 2 10 3 2 2 2 3" xfId="40737" xr:uid="{00000000-0005-0000-0000-0000A19F0000}"/>
    <cellStyle name="Note 2 10 3 2 2 3" xfId="40738" xr:uid="{00000000-0005-0000-0000-0000A29F0000}"/>
    <cellStyle name="Note 2 10 3 2 2 3 2" xfId="40739" xr:uid="{00000000-0005-0000-0000-0000A39F0000}"/>
    <cellStyle name="Note 2 10 3 2 2 4" xfId="40740" xr:uid="{00000000-0005-0000-0000-0000A49F0000}"/>
    <cellStyle name="Note 2 10 3 2 3" xfId="40741" xr:uid="{00000000-0005-0000-0000-0000A59F0000}"/>
    <cellStyle name="Note 2 10 3 2 3 2" xfId="40742" xr:uid="{00000000-0005-0000-0000-0000A69F0000}"/>
    <cellStyle name="Note 2 10 3 2 3 2 2" xfId="40743" xr:uid="{00000000-0005-0000-0000-0000A79F0000}"/>
    <cellStyle name="Note 2 10 3 2 3 3" xfId="40744" xr:uid="{00000000-0005-0000-0000-0000A89F0000}"/>
    <cellStyle name="Note 2 10 3 2 4" xfId="40745" xr:uid="{00000000-0005-0000-0000-0000A99F0000}"/>
    <cellStyle name="Note 2 10 3 2 4 2" xfId="40746" xr:uid="{00000000-0005-0000-0000-0000AA9F0000}"/>
    <cellStyle name="Note 2 10 3 2 5" xfId="40747" xr:uid="{00000000-0005-0000-0000-0000AB9F0000}"/>
    <cellStyle name="Note 2 10 3 3" xfId="40748" xr:uid="{00000000-0005-0000-0000-0000AC9F0000}"/>
    <cellStyle name="Note 2 10 3 3 2" xfId="40749" xr:uid="{00000000-0005-0000-0000-0000AD9F0000}"/>
    <cellStyle name="Note 2 10 3 3 2 2" xfId="40750" xr:uid="{00000000-0005-0000-0000-0000AE9F0000}"/>
    <cellStyle name="Note 2 10 3 3 2 2 2" xfId="40751" xr:uid="{00000000-0005-0000-0000-0000AF9F0000}"/>
    <cellStyle name="Note 2 10 3 3 2 3" xfId="40752" xr:uid="{00000000-0005-0000-0000-0000B09F0000}"/>
    <cellStyle name="Note 2 10 3 3 3" xfId="40753" xr:uid="{00000000-0005-0000-0000-0000B19F0000}"/>
    <cellStyle name="Note 2 10 3 3 3 2" xfId="40754" xr:uid="{00000000-0005-0000-0000-0000B29F0000}"/>
    <cellStyle name="Note 2 10 3 3 4" xfId="40755" xr:uid="{00000000-0005-0000-0000-0000B39F0000}"/>
    <cellStyle name="Note 2 10 3 4" xfId="40756" xr:uid="{00000000-0005-0000-0000-0000B49F0000}"/>
    <cellStyle name="Note 2 10 3 4 2" xfId="40757" xr:uid="{00000000-0005-0000-0000-0000B59F0000}"/>
    <cellStyle name="Note 2 10 3 4 2 2" xfId="40758" xr:uid="{00000000-0005-0000-0000-0000B69F0000}"/>
    <cellStyle name="Note 2 10 3 4 3" xfId="40759" xr:uid="{00000000-0005-0000-0000-0000B79F0000}"/>
    <cellStyle name="Note 2 10 3 5" xfId="40760" xr:uid="{00000000-0005-0000-0000-0000B89F0000}"/>
    <cellStyle name="Note 2 10 3 5 2" xfId="40761" xr:uid="{00000000-0005-0000-0000-0000B99F0000}"/>
    <cellStyle name="Note 2 10 3 6" xfId="40762" xr:uid="{00000000-0005-0000-0000-0000BA9F0000}"/>
    <cellStyle name="Note 2 10 4" xfId="40763" xr:uid="{00000000-0005-0000-0000-0000BB9F0000}"/>
    <cellStyle name="Note 2 10 4 2" xfId="40764" xr:uid="{00000000-0005-0000-0000-0000BC9F0000}"/>
    <cellStyle name="Note 2 10 4 2 2" xfId="40765" xr:uid="{00000000-0005-0000-0000-0000BD9F0000}"/>
    <cellStyle name="Note 2 10 4 3" xfId="40766" xr:uid="{00000000-0005-0000-0000-0000BE9F0000}"/>
    <cellStyle name="Note 2 10 5" xfId="40767" xr:uid="{00000000-0005-0000-0000-0000BF9F0000}"/>
    <cellStyle name="Note 2 10 5 2" xfId="40768" xr:uid="{00000000-0005-0000-0000-0000C09F0000}"/>
    <cellStyle name="Note 2 10 5 2 2" xfId="40769" xr:uid="{00000000-0005-0000-0000-0000C19F0000}"/>
    <cellStyle name="Note 2 10 5 3" xfId="40770" xr:uid="{00000000-0005-0000-0000-0000C29F0000}"/>
    <cellStyle name="Note 2 10 6" xfId="40771" xr:uid="{00000000-0005-0000-0000-0000C39F0000}"/>
    <cellStyle name="Note 2 10 6 2" xfId="40772" xr:uid="{00000000-0005-0000-0000-0000C49F0000}"/>
    <cellStyle name="Note 2 10 6 2 2" xfId="40773" xr:uid="{00000000-0005-0000-0000-0000C59F0000}"/>
    <cellStyle name="Note 2 10 6 2 2 2" xfId="40774" xr:uid="{00000000-0005-0000-0000-0000C69F0000}"/>
    <cellStyle name="Note 2 10 6 2 3" xfId="40775" xr:uid="{00000000-0005-0000-0000-0000C79F0000}"/>
    <cellStyle name="Note 2 10 6 3" xfId="40776" xr:uid="{00000000-0005-0000-0000-0000C89F0000}"/>
    <cellStyle name="Note 2 10 6 3 2" xfId="40777" xr:uid="{00000000-0005-0000-0000-0000C99F0000}"/>
    <cellStyle name="Note 2 10 6 4" xfId="40778" xr:uid="{00000000-0005-0000-0000-0000CA9F0000}"/>
    <cellStyle name="Note 2 10 7" xfId="40779" xr:uid="{00000000-0005-0000-0000-0000CB9F0000}"/>
    <cellStyle name="Note 2 10 7 2" xfId="40780" xr:uid="{00000000-0005-0000-0000-0000CC9F0000}"/>
    <cellStyle name="Note 2 10 7 2 2" xfId="40781" xr:uid="{00000000-0005-0000-0000-0000CD9F0000}"/>
    <cellStyle name="Note 2 10 7 3" xfId="40782" xr:uid="{00000000-0005-0000-0000-0000CE9F0000}"/>
    <cellStyle name="Note 2 10 8" xfId="40783" xr:uid="{00000000-0005-0000-0000-0000CF9F0000}"/>
    <cellStyle name="Note 2 10 8 2" xfId="40784" xr:uid="{00000000-0005-0000-0000-0000D09F0000}"/>
    <cellStyle name="Note 2 10 9" xfId="40785" xr:uid="{00000000-0005-0000-0000-0000D19F0000}"/>
    <cellStyle name="Note 2 11" xfId="40786" xr:uid="{00000000-0005-0000-0000-0000D29F0000}"/>
    <cellStyle name="Note 2 11 2" xfId="40787" xr:uid="{00000000-0005-0000-0000-0000D39F0000}"/>
    <cellStyle name="Note 2 11 2 2" xfId="40788" xr:uid="{00000000-0005-0000-0000-0000D49F0000}"/>
    <cellStyle name="Note 2 11 2 2 2" xfId="40789" xr:uid="{00000000-0005-0000-0000-0000D59F0000}"/>
    <cellStyle name="Note 2 11 2 2 2 2" xfId="40790" xr:uid="{00000000-0005-0000-0000-0000D69F0000}"/>
    <cellStyle name="Note 2 11 2 2 2 2 2" xfId="40791" xr:uid="{00000000-0005-0000-0000-0000D79F0000}"/>
    <cellStyle name="Note 2 11 2 2 2 3" xfId="40792" xr:uid="{00000000-0005-0000-0000-0000D89F0000}"/>
    <cellStyle name="Note 2 11 2 2 3" xfId="40793" xr:uid="{00000000-0005-0000-0000-0000D99F0000}"/>
    <cellStyle name="Note 2 11 2 2 3 2" xfId="40794" xr:uid="{00000000-0005-0000-0000-0000DA9F0000}"/>
    <cellStyle name="Note 2 11 2 2 4" xfId="40795" xr:uid="{00000000-0005-0000-0000-0000DB9F0000}"/>
    <cellStyle name="Note 2 11 2 3" xfId="40796" xr:uid="{00000000-0005-0000-0000-0000DC9F0000}"/>
    <cellStyle name="Note 2 11 2 3 2" xfId="40797" xr:uid="{00000000-0005-0000-0000-0000DD9F0000}"/>
    <cellStyle name="Note 2 11 2 3 2 2" xfId="40798" xr:uid="{00000000-0005-0000-0000-0000DE9F0000}"/>
    <cellStyle name="Note 2 11 2 3 3" xfId="40799" xr:uid="{00000000-0005-0000-0000-0000DF9F0000}"/>
    <cellStyle name="Note 2 11 2 4" xfId="40800" xr:uid="{00000000-0005-0000-0000-0000E09F0000}"/>
    <cellStyle name="Note 2 11 2 4 2" xfId="40801" xr:uid="{00000000-0005-0000-0000-0000E19F0000}"/>
    <cellStyle name="Note 2 11 2 5" xfId="40802" xr:uid="{00000000-0005-0000-0000-0000E29F0000}"/>
    <cellStyle name="Note 2 11 3" xfId="40803" xr:uid="{00000000-0005-0000-0000-0000E39F0000}"/>
    <cellStyle name="Note 2 11 3 2" xfId="40804" xr:uid="{00000000-0005-0000-0000-0000E49F0000}"/>
    <cellStyle name="Note 2 11 3 2 2" xfId="40805" xr:uid="{00000000-0005-0000-0000-0000E59F0000}"/>
    <cellStyle name="Note 2 11 3 2 2 2" xfId="40806" xr:uid="{00000000-0005-0000-0000-0000E69F0000}"/>
    <cellStyle name="Note 2 11 3 2 3" xfId="40807" xr:uid="{00000000-0005-0000-0000-0000E79F0000}"/>
    <cellStyle name="Note 2 11 3 3" xfId="40808" xr:uid="{00000000-0005-0000-0000-0000E89F0000}"/>
    <cellStyle name="Note 2 11 3 3 2" xfId="40809" xr:uid="{00000000-0005-0000-0000-0000E99F0000}"/>
    <cellStyle name="Note 2 11 3 4" xfId="40810" xr:uid="{00000000-0005-0000-0000-0000EA9F0000}"/>
    <cellStyle name="Note 2 11 4" xfId="40811" xr:uid="{00000000-0005-0000-0000-0000EB9F0000}"/>
    <cellStyle name="Note 2 11 4 2" xfId="40812" xr:uid="{00000000-0005-0000-0000-0000EC9F0000}"/>
    <cellStyle name="Note 2 11 4 2 2" xfId="40813" xr:uid="{00000000-0005-0000-0000-0000ED9F0000}"/>
    <cellStyle name="Note 2 11 4 3" xfId="40814" xr:uid="{00000000-0005-0000-0000-0000EE9F0000}"/>
    <cellStyle name="Note 2 11 5" xfId="40815" xr:uid="{00000000-0005-0000-0000-0000EF9F0000}"/>
    <cellStyle name="Note 2 11 5 2" xfId="40816" xr:uid="{00000000-0005-0000-0000-0000F09F0000}"/>
    <cellStyle name="Note 2 11 6" xfId="40817" xr:uid="{00000000-0005-0000-0000-0000F19F0000}"/>
    <cellStyle name="Note 2 12" xfId="40818" xr:uid="{00000000-0005-0000-0000-0000F29F0000}"/>
    <cellStyle name="Note 2 12 2" xfId="40819" xr:uid="{00000000-0005-0000-0000-0000F39F0000}"/>
    <cellStyle name="Note 2 12 2 2" xfId="40820" xr:uid="{00000000-0005-0000-0000-0000F49F0000}"/>
    <cellStyle name="Note 2 12 3" xfId="40821" xr:uid="{00000000-0005-0000-0000-0000F59F0000}"/>
    <cellStyle name="Note 2 13" xfId="40822" xr:uid="{00000000-0005-0000-0000-0000F69F0000}"/>
    <cellStyle name="Note 2 13 2" xfId="40823" xr:uid="{00000000-0005-0000-0000-0000F79F0000}"/>
    <cellStyle name="Note 2 13 2 2" xfId="40824" xr:uid="{00000000-0005-0000-0000-0000F89F0000}"/>
    <cellStyle name="Note 2 13 3" xfId="40825" xr:uid="{00000000-0005-0000-0000-0000F99F0000}"/>
    <cellStyle name="Note 2 14" xfId="40826" xr:uid="{00000000-0005-0000-0000-0000FA9F0000}"/>
    <cellStyle name="Note 2 14 2" xfId="40827" xr:uid="{00000000-0005-0000-0000-0000FB9F0000}"/>
    <cellStyle name="Note 2 14 2 2" xfId="40828" xr:uid="{00000000-0005-0000-0000-0000FC9F0000}"/>
    <cellStyle name="Note 2 14 2 2 2" xfId="40829" xr:uid="{00000000-0005-0000-0000-0000FD9F0000}"/>
    <cellStyle name="Note 2 14 2 2 2 2" xfId="40830" xr:uid="{00000000-0005-0000-0000-0000FE9F0000}"/>
    <cellStyle name="Note 2 14 2 2 3" xfId="40831" xr:uid="{00000000-0005-0000-0000-0000FF9F0000}"/>
    <cellStyle name="Note 2 14 2 3" xfId="40832" xr:uid="{00000000-0005-0000-0000-000000A00000}"/>
    <cellStyle name="Note 2 14 2 3 2" xfId="40833" xr:uid="{00000000-0005-0000-0000-000001A00000}"/>
    <cellStyle name="Note 2 14 2 4" xfId="40834" xr:uid="{00000000-0005-0000-0000-000002A00000}"/>
    <cellStyle name="Note 2 14 3" xfId="40835" xr:uid="{00000000-0005-0000-0000-000003A00000}"/>
    <cellStyle name="Note 2 14 3 2" xfId="40836" xr:uid="{00000000-0005-0000-0000-000004A00000}"/>
    <cellStyle name="Note 2 14 3 2 2" xfId="40837" xr:uid="{00000000-0005-0000-0000-000005A00000}"/>
    <cellStyle name="Note 2 14 3 2 2 2" xfId="40838" xr:uid="{00000000-0005-0000-0000-000006A00000}"/>
    <cellStyle name="Note 2 14 3 2 3" xfId="40839" xr:uid="{00000000-0005-0000-0000-000007A00000}"/>
    <cellStyle name="Note 2 14 3 3" xfId="40840" xr:uid="{00000000-0005-0000-0000-000008A00000}"/>
    <cellStyle name="Note 2 14 3 3 2" xfId="40841" xr:uid="{00000000-0005-0000-0000-000009A00000}"/>
    <cellStyle name="Note 2 14 3 4" xfId="40842" xr:uid="{00000000-0005-0000-0000-00000AA00000}"/>
    <cellStyle name="Note 2 14 4" xfId="40843" xr:uid="{00000000-0005-0000-0000-00000BA00000}"/>
    <cellStyle name="Note 2 14 4 2" xfId="40844" xr:uid="{00000000-0005-0000-0000-00000CA00000}"/>
    <cellStyle name="Note 2 14 4 2 2" xfId="40845" xr:uid="{00000000-0005-0000-0000-00000DA00000}"/>
    <cellStyle name="Note 2 14 4 3" xfId="40846" xr:uid="{00000000-0005-0000-0000-00000EA00000}"/>
    <cellStyle name="Note 2 14 5" xfId="40847" xr:uid="{00000000-0005-0000-0000-00000FA00000}"/>
    <cellStyle name="Note 2 14 5 2" xfId="40848" xr:uid="{00000000-0005-0000-0000-000010A00000}"/>
    <cellStyle name="Note 2 14 6" xfId="40849" xr:uid="{00000000-0005-0000-0000-000011A00000}"/>
    <cellStyle name="Note 2 14 6 2" xfId="40850" xr:uid="{00000000-0005-0000-0000-000012A00000}"/>
    <cellStyle name="Note 2 14 7" xfId="40851" xr:uid="{00000000-0005-0000-0000-000013A00000}"/>
    <cellStyle name="Note 2 15" xfId="40852" xr:uid="{00000000-0005-0000-0000-000014A00000}"/>
    <cellStyle name="Note 2 15 2" xfId="40853" xr:uid="{00000000-0005-0000-0000-000015A00000}"/>
    <cellStyle name="Note 2 15 2 2" xfId="40854" xr:uid="{00000000-0005-0000-0000-000016A00000}"/>
    <cellStyle name="Note 2 15 2 2 2" xfId="40855" xr:uid="{00000000-0005-0000-0000-000017A00000}"/>
    <cellStyle name="Note 2 15 2 3" xfId="40856" xr:uid="{00000000-0005-0000-0000-000018A00000}"/>
    <cellStyle name="Note 2 15 3" xfId="40857" xr:uid="{00000000-0005-0000-0000-000019A00000}"/>
    <cellStyle name="Note 2 15 3 2" xfId="40858" xr:uid="{00000000-0005-0000-0000-00001AA00000}"/>
    <cellStyle name="Note 2 15 4" xfId="40859" xr:uid="{00000000-0005-0000-0000-00001BA00000}"/>
    <cellStyle name="Note 2 16" xfId="40860" xr:uid="{00000000-0005-0000-0000-00001CA00000}"/>
    <cellStyle name="Note 2 16 2" xfId="40861" xr:uid="{00000000-0005-0000-0000-00001DA00000}"/>
    <cellStyle name="Note 2 16 2 2" xfId="40862" xr:uid="{00000000-0005-0000-0000-00001EA00000}"/>
    <cellStyle name="Note 2 16 3" xfId="40863" xr:uid="{00000000-0005-0000-0000-00001FA00000}"/>
    <cellStyle name="Note 2 17" xfId="40864" xr:uid="{00000000-0005-0000-0000-000020A00000}"/>
    <cellStyle name="Note 2 17 2" xfId="40865" xr:uid="{00000000-0005-0000-0000-000021A00000}"/>
    <cellStyle name="Note 2 17 3" xfId="40866" xr:uid="{00000000-0005-0000-0000-000022A00000}"/>
    <cellStyle name="Note 2 18" xfId="40867" xr:uid="{00000000-0005-0000-0000-000023A00000}"/>
    <cellStyle name="Note 2 18 2" xfId="40868" xr:uid="{00000000-0005-0000-0000-000024A00000}"/>
    <cellStyle name="Note 2 19" xfId="40869" xr:uid="{00000000-0005-0000-0000-000025A00000}"/>
    <cellStyle name="Note 2 2" xfId="40870" xr:uid="{00000000-0005-0000-0000-000026A00000}"/>
    <cellStyle name="Note 2 2 2" xfId="40871" xr:uid="{00000000-0005-0000-0000-000027A00000}"/>
    <cellStyle name="Note 2 2 2 2" xfId="40872" xr:uid="{00000000-0005-0000-0000-000028A00000}"/>
    <cellStyle name="Note 2 2 2 2 2" xfId="40873" xr:uid="{00000000-0005-0000-0000-000029A00000}"/>
    <cellStyle name="Note 2 2 2 2 2 2" xfId="40874" xr:uid="{00000000-0005-0000-0000-00002AA00000}"/>
    <cellStyle name="Note 2 2 2 2 3" xfId="40875" xr:uid="{00000000-0005-0000-0000-00002BA00000}"/>
    <cellStyle name="Note 2 2 2 3" xfId="40876" xr:uid="{00000000-0005-0000-0000-00002CA00000}"/>
    <cellStyle name="Note 2 2 2 3 2" xfId="40877" xr:uid="{00000000-0005-0000-0000-00002DA00000}"/>
    <cellStyle name="Note 2 2 2 3 2 2" xfId="40878" xr:uid="{00000000-0005-0000-0000-00002EA00000}"/>
    <cellStyle name="Note 2 2 2 3 3" xfId="40879" xr:uid="{00000000-0005-0000-0000-00002FA00000}"/>
    <cellStyle name="Note 2 2 2 4" xfId="40880" xr:uid="{00000000-0005-0000-0000-000030A00000}"/>
    <cellStyle name="Note 2 2 2 4 2" xfId="40881" xr:uid="{00000000-0005-0000-0000-000031A00000}"/>
    <cellStyle name="Note 2 2 2 4 2 2" xfId="40882" xr:uid="{00000000-0005-0000-0000-000032A00000}"/>
    <cellStyle name="Note 2 2 2 4 3" xfId="40883" xr:uid="{00000000-0005-0000-0000-000033A00000}"/>
    <cellStyle name="Note 2 2 2 5" xfId="40884" xr:uid="{00000000-0005-0000-0000-000034A00000}"/>
    <cellStyle name="Note 2 2 2 5 2" xfId="40885" xr:uid="{00000000-0005-0000-0000-000035A00000}"/>
    <cellStyle name="Note 2 2 2 6" xfId="40886" xr:uid="{00000000-0005-0000-0000-000036A00000}"/>
    <cellStyle name="Note 2 2 3" xfId="40887" xr:uid="{00000000-0005-0000-0000-000037A00000}"/>
    <cellStyle name="Note 2 2 3 2" xfId="40888" xr:uid="{00000000-0005-0000-0000-000038A00000}"/>
    <cellStyle name="Note 2 2 3 2 2" xfId="40889" xr:uid="{00000000-0005-0000-0000-000039A00000}"/>
    <cellStyle name="Note 2 2 3 2 2 2" xfId="40890" xr:uid="{00000000-0005-0000-0000-00003AA00000}"/>
    <cellStyle name="Note 2 2 3 2 2 2 2" xfId="40891" xr:uid="{00000000-0005-0000-0000-00003BA00000}"/>
    <cellStyle name="Note 2 2 3 2 2 3" xfId="40892" xr:uid="{00000000-0005-0000-0000-00003CA00000}"/>
    <cellStyle name="Note 2 2 3 2 3" xfId="40893" xr:uid="{00000000-0005-0000-0000-00003DA00000}"/>
    <cellStyle name="Note 2 2 3 2 3 2" xfId="40894" xr:uid="{00000000-0005-0000-0000-00003EA00000}"/>
    <cellStyle name="Note 2 2 3 2 3 2 2" xfId="40895" xr:uid="{00000000-0005-0000-0000-00003FA00000}"/>
    <cellStyle name="Note 2 2 3 2 3 3" xfId="40896" xr:uid="{00000000-0005-0000-0000-000040A00000}"/>
    <cellStyle name="Note 2 2 3 2 4" xfId="40897" xr:uid="{00000000-0005-0000-0000-000041A00000}"/>
    <cellStyle name="Note 2 2 3 2 4 2" xfId="40898" xr:uid="{00000000-0005-0000-0000-000042A00000}"/>
    <cellStyle name="Note 2 2 3 2 5" xfId="40899" xr:uid="{00000000-0005-0000-0000-000043A00000}"/>
    <cellStyle name="Note 2 2 3 3" xfId="40900" xr:uid="{00000000-0005-0000-0000-000044A00000}"/>
    <cellStyle name="Note 2 2 3 3 2" xfId="40901" xr:uid="{00000000-0005-0000-0000-000045A00000}"/>
    <cellStyle name="Note 2 2 3 3 2 2" xfId="40902" xr:uid="{00000000-0005-0000-0000-000046A00000}"/>
    <cellStyle name="Note 2 2 3 3 2 2 2" xfId="40903" xr:uid="{00000000-0005-0000-0000-000047A00000}"/>
    <cellStyle name="Note 2 2 3 3 2 3" xfId="40904" xr:uid="{00000000-0005-0000-0000-000048A00000}"/>
    <cellStyle name="Note 2 2 3 3 3" xfId="40905" xr:uid="{00000000-0005-0000-0000-000049A00000}"/>
    <cellStyle name="Note 2 2 3 3 3 2" xfId="40906" xr:uid="{00000000-0005-0000-0000-00004AA00000}"/>
    <cellStyle name="Note 2 2 3 3 4" xfId="40907" xr:uid="{00000000-0005-0000-0000-00004BA00000}"/>
    <cellStyle name="Note 2 2 3 4" xfId="40908" xr:uid="{00000000-0005-0000-0000-00004CA00000}"/>
    <cellStyle name="Note 2 2 3 4 2" xfId="40909" xr:uid="{00000000-0005-0000-0000-00004DA00000}"/>
    <cellStyle name="Note 2 2 3 4 2 2" xfId="40910" xr:uid="{00000000-0005-0000-0000-00004EA00000}"/>
    <cellStyle name="Note 2 2 3 4 3" xfId="40911" xr:uid="{00000000-0005-0000-0000-00004FA00000}"/>
    <cellStyle name="Note 2 2 3 5" xfId="40912" xr:uid="{00000000-0005-0000-0000-000050A00000}"/>
    <cellStyle name="Note 2 2 3 5 2" xfId="40913" xr:uid="{00000000-0005-0000-0000-000051A00000}"/>
    <cellStyle name="Note 2 2 3 5 2 2" xfId="40914" xr:uid="{00000000-0005-0000-0000-000052A00000}"/>
    <cellStyle name="Note 2 2 3 5 3" xfId="40915" xr:uid="{00000000-0005-0000-0000-000053A00000}"/>
    <cellStyle name="Note 2 2 3 6" xfId="40916" xr:uid="{00000000-0005-0000-0000-000054A00000}"/>
    <cellStyle name="Note 2 2 3 6 2" xfId="40917" xr:uid="{00000000-0005-0000-0000-000055A00000}"/>
    <cellStyle name="Note 2 2 3 7" xfId="40918" xr:uid="{00000000-0005-0000-0000-000056A00000}"/>
    <cellStyle name="Note 2 2 4" xfId="40919" xr:uid="{00000000-0005-0000-0000-000057A00000}"/>
    <cellStyle name="Note 2 2 4 2" xfId="40920" xr:uid="{00000000-0005-0000-0000-000058A00000}"/>
    <cellStyle name="Note 2 2 4 2 2" xfId="40921" xr:uid="{00000000-0005-0000-0000-000059A00000}"/>
    <cellStyle name="Note 2 2 4 2 2 2" xfId="40922" xr:uid="{00000000-0005-0000-0000-00005AA00000}"/>
    <cellStyle name="Note 2 2 4 2 3" xfId="40923" xr:uid="{00000000-0005-0000-0000-00005BA00000}"/>
    <cellStyle name="Note 2 2 4 3" xfId="40924" xr:uid="{00000000-0005-0000-0000-00005CA00000}"/>
    <cellStyle name="Note 2 2 4 3 2" xfId="40925" xr:uid="{00000000-0005-0000-0000-00005DA00000}"/>
    <cellStyle name="Note 2 2 4 4" xfId="40926" xr:uid="{00000000-0005-0000-0000-00005EA00000}"/>
    <cellStyle name="Note 2 2 5" xfId="40927" xr:uid="{00000000-0005-0000-0000-00005FA00000}"/>
    <cellStyle name="Note 2 2 5 2" xfId="40928" xr:uid="{00000000-0005-0000-0000-000060A00000}"/>
    <cellStyle name="Note 2 2 5 2 2" xfId="40929" xr:uid="{00000000-0005-0000-0000-000061A00000}"/>
    <cellStyle name="Note 2 2 5 3" xfId="40930" xr:uid="{00000000-0005-0000-0000-000062A00000}"/>
    <cellStyle name="Note 2 2 6" xfId="40931" xr:uid="{00000000-0005-0000-0000-000063A00000}"/>
    <cellStyle name="Note 2 2 6 2" xfId="40932" xr:uid="{00000000-0005-0000-0000-000064A00000}"/>
    <cellStyle name="Note 2 2 6 2 2" xfId="40933" xr:uid="{00000000-0005-0000-0000-000065A00000}"/>
    <cellStyle name="Note 2 2 6 3" xfId="40934" xr:uid="{00000000-0005-0000-0000-000066A00000}"/>
    <cellStyle name="Note 2 2 7" xfId="40935" xr:uid="{00000000-0005-0000-0000-000067A00000}"/>
    <cellStyle name="Note 2 2 7 2" xfId="40936" xr:uid="{00000000-0005-0000-0000-000068A00000}"/>
    <cellStyle name="Note 2 2 8" xfId="40937" xr:uid="{00000000-0005-0000-0000-000069A00000}"/>
    <cellStyle name="Note 2 20" xfId="40938" xr:uid="{00000000-0005-0000-0000-00006AA00000}"/>
    <cellStyle name="Note 2 3" xfId="40939" xr:uid="{00000000-0005-0000-0000-00006BA00000}"/>
    <cellStyle name="Note 2 3 10" xfId="40940" xr:uid="{00000000-0005-0000-0000-00006CA00000}"/>
    <cellStyle name="Note 2 3 2" xfId="40941" xr:uid="{00000000-0005-0000-0000-00006DA00000}"/>
    <cellStyle name="Note 2 3 2 2" xfId="40942" xr:uid="{00000000-0005-0000-0000-00006EA00000}"/>
    <cellStyle name="Note 2 3 2 2 2" xfId="40943" xr:uid="{00000000-0005-0000-0000-00006FA00000}"/>
    <cellStyle name="Note 2 3 2 2 2 2" xfId="40944" xr:uid="{00000000-0005-0000-0000-000070A00000}"/>
    <cellStyle name="Note 2 3 2 2 2 2 2" xfId="40945" xr:uid="{00000000-0005-0000-0000-000071A00000}"/>
    <cellStyle name="Note 2 3 2 2 2 2 2 2" xfId="40946" xr:uid="{00000000-0005-0000-0000-000072A00000}"/>
    <cellStyle name="Note 2 3 2 2 2 2 3" xfId="40947" xr:uid="{00000000-0005-0000-0000-000073A00000}"/>
    <cellStyle name="Note 2 3 2 2 2 3" xfId="40948" xr:uid="{00000000-0005-0000-0000-000074A00000}"/>
    <cellStyle name="Note 2 3 2 2 2 3 2" xfId="40949" xr:uid="{00000000-0005-0000-0000-000075A00000}"/>
    <cellStyle name="Note 2 3 2 2 2 4" xfId="40950" xr:uid="{00000000-0005-0000-0000-000076A00000}"/>
    <cellStyle name="Note 2 3 2 2 3" xfId="40951" xr:uid="{00000000-0005-0000-0000-000077A00000}"/>
    <cellStyle name="Note 2 3 2 2 3 2" xfId="40952" xr:uid="{00000000-0005-0000-0000-000078A00000}"/>
    <cellStyle name="Note 2 3 2 2 3 2 2" xfId="40953" xr:uid="{00000000-0005-0000-0000-000079A00000}"/>
    <cellStyle name="Note 2 3 2 2 3 3" xfId="40954" xr:uid="{00000000-0005-0000-0000-00007AA00000}"/>
    <cellStyle name="Note 2 3 2 2 4" xfId="40955" xr:uid="{00000000-0005-0000-0000-00007BA00000}"/>
    <cellStyle name="Note 2 3 2 2 4 2" xfId="40956" xr:uid="{00000000-0005-0000-0000-00007CA00000}"/>
    <cellStyle name="Note 2 3 2 2 5" xfId="40957" xr:uid="{00000000-0005-0000-0000-00007DA00000}"/>
    <cellStyle name="Note 2 3 2 3" xfId="40958" xr:uid="{00000000-0005-0000-0000-00007EA00000}"/>
    <cellStyle name="Note 2 3 2 3 2" xfId="40959" xr:uid="{00000000-0005-0000-0000-00007FA00000}"/>
    <cellStyle name="Note 2 3 2 3 2 2" xfId="40960" xr:uid="{00000000-0005-0000-0000-000080A00000}"/>
    <cellStyle name="Note 2 3 2 3 3" xfId="40961" xr:uid="{00000000-0005-0000-0000-000081A00000}"/>
    <cellStyle name="Note 2 3 2 4" xfId="40962" xr:uid="{00000000-0005-0000-0000-000082A00000}"/>
    <cellStyle name="Note 2 3 2 4 2" xfId="40963" xr:uid="{00000000-0005-0000-0000-000083A00000}"/>
    <cellStyle name="Note 2 3 2 4 2 2" xfId="40964" xr:uid="{00000000-0005-0000-0000-000084A00000}"/>
    <cellStyle name="Note 2 3 2 4 3" xfId="40965" xr:uid="{00000000-0005-0000-0000-000085A00000}"/>
    <cellStyle name="Note 2 3 2 5" xfId="40966" xr:uid="{00000000-0005-0000-0000-000086A00000}"/>
    <cellStyle name="Note 2 3 2 5 2" xfId="40967" xr:uid="{00000000-0005-0000-0000-000087A00000}"/>
    <cellStyle name="Note 2 3 2 5 2 2" xfId="40968" xr:uid="{00000000-0005-0000-0000-000088A00000}"/>
    <cellStyle name="Note 2 3 2 5 2 2 2" xfId="40969" xr:uid="{00000000-0005-0000-0000-000089A00000}"/>
    <cellStyle name="Note 2 3 2 5 2 3" xfId="40970" xr:uid="{00000000-0005-0000-0000-00008AA00000}"/>
    <cellStyle name="Note 2 3 2 5 3" xfId="40971" xr:uid="{00000000-0005-0000-0000-00008BA00000}"/>
    <cellStyle name="Note 2 3 2 5 3 2" xfId="40972" xr:uid="{00000000-0005-0000-0000-00008CA00000}"/>
    <cellStyle name="Note 2 3 2 5 4" xfId="40973" xr:uid="{00000000-0005-0000-0000-00008DA00000}"/>
    <cellStyle name="Note 2 3 2 6" xfId="40974" xr:uid="{00000000-0005-0000-0000-00008EA00000}"/>
    <cellStyle name="Note 2 3 2 6 2" xfId="40975" xr:uid="{00000000-0005-0000-0000-00008FA00000}"/>
    <cellStyle name="Note 2 3 2 6 2 2" xfId="40976" xr:uid="{00000000-0005-0000-0000-000090A00000}"/>
    <cellStyle name="Note 2 3 2 6 3" xfId="40977" xr:uid="{00000000-0005-0000-0000-000091A00000}"/>
    <cellStyle name="Note 2 3 2 7" xfId="40978" xr:uid="{00000000-0005-0000-0000-000092A00000}"/>
    <cellStyle name="Note 2 3 2 7 2" xfId="40979" xr:uid="{00000000-0005-0000-0000-000093A00000}"/>
    <cellStyle name="Note 2 3 2 8" xfId="40980" xr:uid="{00000000-0005-0000-0000-000094A00000}"/>
    <cellStyle name="Note 2 3 3" xfId="40981" xr:uid="{00000000-0005-0000-0000-000095A00000}"/>
    <cellStyle name="Note 2 3 3 2" xfId="40982" xr:uid="{00000000-0005-0000-0000-000096A00000}"/>
    <cellStyle name="Note 2 3 3 2 2" xfId="40983" xr:uid="{00000000-0005-0000-0000-000097A00000}"/>
    <cellStyle name="Note 2 3 3 2 2 2" xfId="40984" xr:uid="{00000000-0005-0000-0000-000098A00000}"/>
    <cellStyle name="Note 2 3 3 2 2 2 2" xfId="40985" xr:uid="{00000000-0005-0000-0000-000099A00000}"/>
    <cellStyle name="Note 2 3 3 2 2 2 2 2" xfId="40986" xr:uid="{00000000-0005-0000-0000-00009AA00000}"/>
    <cellStyle name="Note 2 3 3 2 2 2 2 2 2" xfId="40987" xr:uid="{00000000-0005-0000-0000-00009BA00000}"/>
    <cellStyle name="Note 2 3 3 2 2 2 2 3" xfId="40988" xr:uid="{00000000-0005-0000-0000-00009CA00000}"/>
    <cellStyle name="Note 2 3 3 2 2 2 3" xfId="40989" xr:uid="{00000000-0005-0000-0000-00009DA00000}"/>
    <cellStyle name="Note 2 3 3 2 2 2 3 2" xfId="40990" xr:uid="{00000000-0005-0000-0000-00009EA00000}"/>
    <cellStyle name="Note 2 3 3 2 2 2 4" xfId="40991" xr:uid="{00000000-0005-0000-0000-00009FA00000}"/>
    <cellStyle name="Note 2 3 3 2 2 3" xfId="40992" xr:uid="{00000000-0005-0000-0000-0000A0A00000}"/>
    <cellStyle name="Note 2 3 3 2 2 3 2" xfId="40993" xr:uid="{00000000-0005-0000-0000-0000A1A00000}"/>
    <cellStyle name="Note 2 3 3 2 2 3 2 2" xfId="40994" xr:uid="{00000000-0005-0000-0000-0000A2A00000}"/>
    <cellStyle name="Note 2 3 3 2 2 3 3" xfId="40995" xr:uid="{00000000-0005-0000-0000-0000A3A00000}"/>
    <cellStyle name="Note 2 3 3 2 2 4" xfId="40996" xr:uid="{00000000-0005-0000-0000-0000A4A00000}"/>
    <cellStyle name="Note 2 3 3 2 2 4 2" xfId="40997" xr:uid="{00000000-0005-0000-0000-0000A5A00000}"/>
    <cellStyle name="Note 2 3 3 2 2 5" xfId="40998" xr:uid="{00000000-0005-0000-0000-0000A6A00000}"/>
    <cellStyle name="Note 2 3 3 2 3" xfId="40999" xr:uid="{00000000-0005-0000-0000-0000A7A00000}"/>
    <cellStyle name="Note 2 3 3 2 3 2" xfId="41000" xr:uid="{00000000-0005-0000-0000-0000A8A00000}"/>
    <cellStyle name="Note 2 3 3 2 3 2 2" xfId="41001" xr:uid="{00000000-0005-0000-0000-0000A9A00000}"/>
    <cellStyle name="Note 2 3 3 2 3 3" xfId="41002" xr:uid="{00000000-0005-0000-0000-0000AAA00000}"/>
    <cellStyle name="Note 2 3 3 2 4" xfId="41003" xr:uid="{00000000-0005-0000-0000-0000ABA00000}"/>
    <cellStyle name="Note 2 3 3 2 4 2" xfId="41004" xr:uid="{00000000-0005-0000-0000-0000ACA00000}"/>
    <cellStyle name="Note 2 3 3 2 4 2 2" xfId="41005" xr:uid="{00000000-0005-0000-0000-0000ADA00000}"/>
    <cellStyle name="Note 2 3 3 2 4 2 2 2" xfId="41006" xr:uid="{00000000-0005-0000-0000-0000AEA00000}"/>
    <cellStyle name="Note 2 3 3 2 4 2 3" xfId="41007" xr:uid="{00000000-0005-0000-0000-0000AFA00000}"/>
    <cellStyle name="Note 2 3 3 2 4 3" xfId="41008" xr:uid="{00000000-0005-0000-0000-0000B0A00000}"/>
    <cellStyle name="Note 2 3 3 2 4 3 2" xfId="41009" xr:uid="{00000000-0005-0000-0000-0000B1A00000}"/>
    <cellStyle name="Note 2 3 3 2 4 4" xfId="41010" xr:uid="{00000000-0005-0000-0000-0000B2A00000}"/>
    <cellStyle name="Note 2 3 3 2 5" xfId="41011" xr:uid="{00000000-0005-0000-0000-0000B3A00000}"/>
    <cellStyle name="Note 2 3 3 2 5 2" xfId="41012" xr:uid="{00000000-0005-0000-0000-0000B4A00000}"/>
    <cellStyle name="Note 2 3 3 2 5 2 2" xfId="41013" xr:uid="{00000000-0005-0000-0000-0000B5A00000}"/>
    <cellStyle name="Note 2 3 3 2 5 3" xfId="41014" xr:uid="{00000000-0005-0000-0000-0000B6A00000}"/>
    <cellStyle name="Note 2 3 3 2 6" xfId="41015" xr:uid="{00000000-0005-0000-0000-0000B7A00000}"/>
    <cellStyle name="Note 2 3 3 2 6 2" xfId="41016" xr:uid="{00000000-0005-0000-0000-0000B8A00000}"/>
    <cellStyle name="Note 2 3 3 2 7" xfId="41017" xr:uid="{00000000-0005-0000-0000-0000B9A00000}"/>
    <cellStyle name="Note 2 3 3 3" xfId="41018" xr:uid="{00000000-0005-0000-0000-0000BAA00000}"/>
    <cellStyle name="Note 2 3 3 3 2" xfId="41019" xr:uid="{00000000-0005-0000-0000-0000BBA00000}"/>
    <cellStyle name="Note 2 3 3 3 2 2" xfId="41020" xr:uid="{00000000-0005-0000-0000-0000BCA00000}"/>
    <cellStyle name="Note 2 3 3 3 2 2 2" xfId="41021" xr:uid="{00000000-0005-0000-0000-0000BDA00000}"/>
    <cellStyle name="Note 2 3 3 3 2 2 2 2" xfId="41022" xr:uid="{00000000-0005-0000-0000-0000BEA00000}"/>
    <cellStyle name="Note 2 3 3 3 2 2 2 2 2" xfId="41023" xr:uid="{00000000-0005-0000-0000-0000BFA00000}"/>
    <cellStyle name="Note 2 3 3 3 2 2 2 3" xfId="41024" xr:uid="{00000000-0005-0000-0000-0000C0A00000}"/>
    <cellStyle name="Note 2 3 3 3 2 2 3" xfId="41025" xr:uid="{00000000-0005-0000-0000-0000C1A00000}"/>
    <cellStyle name="Note 2 3 3 3 2 2 3 2" xfId="41026" xr:uid="{00000000-0005-0000-0000-0000C2A00000}"/>
    <cellStyle name="Note 2 3 3 3 2 2 4" xfId="41027" xr:uid="{00000000-0005-0000-0000-0000C3A00000}"/>
    <cellStyle name="Note 2 3 3 3 2 3" xfId="41028" xr:uid="{00000000-0005-0000-0000-0000C4A00000}"/>
    <cellStyle name="Note 2 3 3 3 2 3 2" xfId="41029" xr:uid="{00000000-0005-0000-0000-0000C5A00000}"/>
    <cellStyle name="Note 2 3 3 3 2 3 2 2" xfId="41030" xr:uid="{00000000-0005-0000-0000-0000C6A00000}"/>
    <cellStyle name="Note 2 3 3 3 2 3 3" xfId="41031" xr:uid="{00000000-0005-0000-0000-0000C7A00000}"/>
    <cellStyle name="Note 2 3 3 3 2 4" xfId="41032" xr:uid="{00000000-0005-0000-0000-0000C8A00000}"/>
    <cellStyle name="Note 2 3 3 3 2 4 2" xfId="41033" xr:uid="{00000000-0005-0000-0000-0000C9A00000}"/>
    <cellStyle name="Note 2 3 3 3 2 5" xfId="41034" xr:uid="{00000000-0005-0000-0000-0000CAA00000}"/>
    <cellStyle name="Note 2 3 3 3 3" xfId="41035" xr:uid="{00000000-0005-0000-0000-0000CBA00000}"/>
    <cellStyle name="Note 2 3 3 3 3 2" xfId="41036" xr:uid="{00000000-0005-0000-0000-0000CCA00000}"/>
    <cellStyle name="Note 2 3 3 3 3 2 2" xfId="41037" xr:uid="{00000000-0005-0000-0000-0000CDA00000}"/>
    <cellStyle name="Note 2 3 3 3 3 2 2 2" xfId="41038" xr:uid="{00000000-0005-0000-0000-0000CEA00000}"/>
    <cellStyle name="Note 2 3 3 3 3 2 3" xfId="41039" xr:uid="{00000000-0005-0000-0000-0000CFA00000}"/>
    <cellStyle name="Note 2 3 3 3 3 3" xfId="41040" xr:uid="{00000000-0005-0000-0000-0000D0A00000}"/>
    <cellStyle name="Note 2 3 3 3 3 3 2" xfId="41041" xr:uid="{00000000-0005-0000-0000-0000D1A00000}"/>
    <cellStyle name="Note 2 3 3 3 3 4" xfId="41042" xr:uid="{00000000-0005-0000-0000-0000D2A00000}"/>
    <cellStyle name="Note 2 3 3 3 4" xfId="41043" xr:uid="{00000000-0005-0000-0000-0000D3A00000}"/>
    <cellStyle name="Note 2 3 3 3 4 2" xfId="41044" xr:uid="{00000000-0005-0000-0000-0000D4A00000}"/>
    <cellStyle name="Note 2 3 3 3 4 2 2" xfId="41045" xr:uid="{00000000-0005-0000-0000-0000D5A00000}"/>
    <cellStyle name="Note 2 3 3 3 4 3" xfId="41046" xr:uid="{00000000-0005-0000-0000-0000D6A00000}"/>
    <cellStyle name="Note 2 3 3 3 5" xfId="41047" xr:uid="{00000000-0005-0000-0000-0000D7A00000}"/>
    <cellStyle name="Note 2 3 3 3 5 2" xfId="41048" xr:uid="{00000000-0005-0000-0000-0000D8A00000}"/>
    <cellStyle name="Note 2 3 3 3 6" xfId="41049" xr:uid="{00000000-0005-0000-0000-0000D9A00000}"/>
    <cellStyle name="Note 2 3 3 4" xfId="41050" xr:uid="{00000000-0005-0000-0000-0000DAA00000}"/>
    <cellStyle name="Note 2 3 3 4 2" xfId="41051" xr:uid="{00000000-0005-0000-0000-0000DBA00000}"/>
    <cellStyle name="Note 2 3 3 4 2 2" xfId="41052" xr:uid="{00000000-0005-0000-0000-0000DCA00000}"/>
    <cellStyle name="Note 2 3 3 4 3" xfId="41053" xr:uid="{00000000-0005-0000-0000-0000DDA00000}"/>
    <cellStyle name="Note 2 3 3 5" xfId="41054" xr:uid="{00000000-0005-0000-0000-0000DEA00000}"/>
    <cellStyle name="Note 2 3 3 5 2" xfId="41055" xr:uid="{00000000-0005-0000-0000-0000DFA00000}"/>
    <cellStyle name="Note 2 3 3 5 2 2" xfId="41056" xr:uid="{00000000-0005-0000-0000-0000E0A00000}"/>
    <cellStyle name="Note 2 3 3 5 3" xfId="41057" xr:uid="{00000000-0005-0000-0000-0000E1A00000}"/>
    <cellStyle name="Note 2 3 3 6" xfId="41058" xr:uid="{00000000-0005-0000-0000-0000E2A00000}"/>
    <cellStyle name="Note 2 3 3 6 2" xfId="41059" xr:uid="{00000000-0005-0000-0000-0000E3A00000}"/>
    <cellStyle name="Note 2 3 3 6 2 2" xfId="41060" xr:uid="{00000000-0005-0000-0000-0000E4A00000}"/>
    <cellStyle name="Note 2 3 3 6 2 2 2" xfId="41061" xr:uid="{00000000-0005-0000-0000-0000E5A00000}"/>
    <cellStyle name="Note 2 3 3 6 2 3" xfId="41062" xr:uid="{00000000-0005-0000-0000-0000E6A00000}"/>
    <cellStyle name="Note 2 3 3 6 3" xfId="41063" xr:uid="{00000000-0005-0000-0000-0000E7A00000}"/>
    <cellStyle name="Note 2 3 3 6 3 2" xfId="41064" xr:uid="{00000000-0005-0000-0000-0000E8A00000}"/>
    <cellStyle name="Note 2 3 3 6 4" xfId="41065" xr:uid="{00000000-0005-0000-0000-0000E9A00000}"/>
    <cellStyle name="Note 2 3 3 7" xfId="41066" xr:uid="{00000000-0005-0000-0000-0000EAA00000}"/>
    <cellStyle name="Note 2 3 3 7 2" xfId="41067" xr:uid="{00000000-0005-0000-0000-0000EBA00000}"/>
    <cellStyle name="Note 2 3 3 7 2 2" xfId="41068" xr:uid="{00000000-0005-0000-0000-0000ECA00000}"/>
    <cellStyle name="Note 2 3 3 7 3" xfId="41069" xr:uid="{00000000-0005-0000-0000-0000EDA00000}"/>
    <cellStyle name="Note 2 3 3 8" xfId="41070" xr:uid="{00000000-0005-0000-0000-0000EEA00000}"/>
    <cellStyle name="Note 2 3 3 8 2" xfId="41071" xr:uid="{00000000-0005-0000-0000-0000EFA00000}"/>
    <cellStyle name="Note 2 3 3 9" xfId="41072" xr:uid="{00000000-0005-0000-0000-0000F0A00000}"/>
    <cellStyle name="Note 2 3 4" xfId="41073" xr:uid="{00000000-0005-0000-0000-0000F1A00000}"/>
    <cellStyle name="Note 2 3 4 2" xfId="41074" xr:uid="{00000000-0005-0000-0000-0000F2A00000}"/>
    <cellStyle name="Note 2 3 4 2 2" xfId="41075" xr:uid="{00000000-0005-0000-0000-0000F3A00000}"/>
    <cellStyle name="Note 2 3 4 2 2 2" xfId="41076" xr:uid="{00000000-0005-0000-0000-0000F4A00000}"/>
    <cellStyle name="Note 2 3 4 2 2 2 2" xfId="41077" xr:uid="{00000000-0005-0000-0000-0000F5A00000}"/>
    <cellStyle name="Note 2 3 4 2 2 2 2 2" xfId="41078" xr:uid="{00000000-0005-0000-0000-0000F6A00000}"/>
    <cellStyle name="Note 2 3 4 2 2 2 3" xfId="41079" xr:uid="{00000000-0005-0000-0000-0000F7A00000}"/>
    <cellStyle name="Note 2 3 4 2 2 3" xfId="41080" xr:uid="{00000000-0005-0000-0000-0000F8A00000}"/>
    <cellStyle name="Note 2 3 4 2 2 3 2" xfId="41081" xr:uid="{00000000-0005-0000-0000-0000F9A00000}"/>
    <cellStyle name="Note 2 3 4 2 2 4" xfId="41082" xr:uid="{00000000-0005-0000-0000-0000FAA00000}"/>
    <cellStyle name="Note 2 3 4 2 3" xfId="41083" xr:uid="{00000000-0005-0000-0000-0000FBA00000}"/>
    <cellStyle name="Note 2 3 4 2 3 2" xfId="41084" xr:uid="{00000000-0005-0000-0000-0000FCA00000}"/>
    <cellStyle name="Note 2 3 4 2 3 2 2" xfId="41085" xr:uid="{00000000-0005-0000-0000-0000FDA00000}"/>
    <cellStyle name="Note 2 3 4 2 3 3" xfId="41086" xr:uid="{00000000-0005-0000-0000-0000FEA00000}"/>
    <cellStyle name="Note 2 3 4 2 4" xfId="41087" xr:uid="{00000000-0005-0000-0000-0000FFA00000}"/>
    <cellStyle name="Note 2 3 4 2 4 2" xfId="41088" xr:uid="{00000000-0005-0000-0000-000000A10000}"/>
    <cellStyle name="Note 2 3 4 2 5" xfId="41089" xr:uid="{00000000-0005-0000-0000-000001A10000}"/>
    <cellStyle name="Note 2 3 4 3" xfId="41090" xr:uid="{00000000-0005-0000-0000-000002A10000}"/>
    <cellStyle name="Note 2 3 4 3 2" xfId="41091" xr:uid="{00000000-0005-0000-0000-000003A10000}"/>
    <cellStyle name="Note 2 3 4 3 2 2" xfId="41092" xr:uid="{00000000-0005-0000-0000-000004A10000}"/>
    <cellStyle name="Note 2 3 4 3 2 2 2" xfId="41093" xr:uid="{00000000-0005-0000-0000-000005A10000}"/>
    <cellStyle name="Note 2 3 4 3 2 3" xfId="41094" xr:uid="{00000000-0005-0000-0000-000006A10000}"/>
    <cellStyle name="Note 2 3 4 3 3" xfId="41095" xr:uid="{00000000-0005-0000-0000-000007A10000}"/>
    <cellStyle name="Note 2 3 4 3 3 2" xfId="41096" xr:uid="{00000000-0005-0000-0000-000008A10000}"/>
    <cellStyle name="Note 2 3 4 3 4" xfId="41097" xr:uid="{00000000-0005-0000-0000-000009A10000}"/>
    <cellStyle name="Note 2 3 4 4" xfId="41098" xr:uid="{00000000-0005-0000-0000-00000AA10000}"/>
    <cellStyle name="Note 2 3 4 4 2" xfId="41099" xr:uid="{00000000-0005-0000-0000-00000BA10000}"/>
    <cellStyle name="Note 2 3 4 4 2 2" xfId="41100" xr:uid="{00000000-0005-0000-0000-00000CA10000}"/>
    <cellStyle name="Note 2 3 4 4 3" xfId="41101" xr:uid="{00000000-0005-0000-0000-00000DA10000}"/>
    <cellStyle name="Note 2 3 4 5" xfId="41102" xr:uid="{00000000-0005-0000-0000-00000EA10000}"/>
    <cellStyle name="Note 2 3 4 5 2" xfId="41103" xr:uid="{00000000-0005-0000-0000-00000FA10000}"/>
    <cellStyle name="Note 2 3 4 6" xfId="41104" xr:uid="{00000000-0005-0000-0000-000010A10000}"/>
    <cellStyle name="Note 2 3 5" xfId="41105" xr:uid="{00000000-0005-0000-0000-000011A10000}"/>
    <cellStyle name="Note 2 3 5 2" xfId="41106" xr:uid="{00000000-0005-0000-0000-000012A10000}"/>
    <cellStyle name="Note 2 3 5 2 2" xfId="41107" xr:uid="{00000000-0005-0000-0000-000013A10000}"/>
    <cellStyle name="Note 2 3 5 3" xfId="41108" xr:uid="{00000000-0005-0000-0000-000014A10000}"/>
    <cellStyle name="Note 2 3 6" xfId="41109" xr:uid="{00000000-0005-0000-0000-000015A10000}"/>
    <cellStyle name="Note 2 3 6 2" xfId="41110" xr:uid="{00000000-0005-0000-0000-000016A10000}"/>
    <cellStyle name="Note 2 3 6 2 2" xfId="41111" xr:uid="{00000000-0005-0000-0000-000017A10000}"/>
    <cellStyle name="Note 2 3 6 3" xfId="41112" xr:uid="{00000000-0005-0000-0000-000018A10000}"/>
    <cellStyle name="Note 2 3 7" xfId="41113" xr:uid="{00000000-0005-0000-0000-000019A10000}"/>
    <cellStyle name="Note 2 3 7 2" xfId="41114" xr:uid="{00000000-0005-0000-0000-00001AA10000}"/>
    <cellStyle name="Note 2 3 7 2 2" xfId="41115" xr:uid="{00000000-0005-0000-0000-00001BA10000}"/>
    <cellStyle name="Note 2 3 7 2 2 2" xfId="41116" xr:uid="{00000000-0005-0000-0000-00001CA10000}"/>
    <cellStyle name="Note 2 3 7 2 3" xfId="41117" xr:uid="{00000000-0005-0000-0000-00001DA10000}"/>
    <cellStyle name="Note 2 3 7 3" xfId="41118" xr:uid="{00000000-0005-0000-0000-00001EA10000}"/>
    <cellStyle name="Note 2 3 7 3 2" xfId="41119" xr:uid="{00000000-0005-0000-0000-00001FA10000}"/>
    <cellStyle name="Note 2 3 7 4" xfId="41120" xr:uid="{00000000-0005-0000-0000-000020A10000}"/>
    <cellStyle name="Note 2 3 8" xfId="41121" xr:uid="{00000000-0005-0000-0000-000021A10000}"/>
    <cellStyle name="Note 2 3 8 2" xfId="41122" xr:uid="{00000000-0005-0000-0000-000022A10000}"/>
    <cellStyle name="Note 2 3 8 2 2" xfId="41123" xr:uid="{00000000-0005-0000-0000-000023A10000}"/>
    <cellStyle name="Note 2 3 8 3" xfId="41124" xr:uid="{00000000-0005-0000-0000-000024A10000}"/>
    <cellStyle name="Note 2 3 9" xfId="41125" xr:uid="{00000000-0005-0000-0000-000025A10000}"/>
    <cellStyle name="Note 2 3 9 2" xfId="41126" xr:uid="{00000000-0005-0000-0000-000026A10000}"/>
    <cellStyle name="Note 2 4" xfId="41127" xr:uid="{00000000-0005-0000-0000-000027A10000}"/>
    <cellStyle name="Note 2 4 2" xfId="41128" xr:uid="{00000000-0005-0000-0000-000028A10000}"/>
    <cellStyle name="Note 2 4 2 2" xfId="41129" xr:uid="{00000000-0005-0000-0000-000029A10000}"/>
    <cellStyle name="Note 2 4 2 2 2" xfId="41130" xr:uid="{00000000-0005-0000-0000-00002AA10000}"/>
    <cellStyle name="Note 2 4 2 2 2 2" xfId="41131" xr:uid="{00000000-0005-0000-0000-00002BA10000}"/>
    <cellStyle name="Note 2 4 2 2 3" xfId="41132" xr:uid="{00000000-0005-0000-0000-00002CA10000}"/>
    <cellStyle name="Note 2 4 2 3" xfId="41133" xr:uid="{00000000-0005-0000-0000-00002DA10000}"/>
    <cellStyle name="Note 2 4 2 3 2" xfId="41134" xr:uid="{00000000-0005-0000-0000-00002EA10000}"/>
    <cellStyle name="Note 2 4 2 3 2 2" xfId="41135" xr:uid="{00000000-0005-0000-0000-00002FA10000}"/>
    <cellStyle name="Note 2 4 2 3 3" xfId="41136" xr:uid="{00000000-0005-0000-0000-000030A10000}"/>
    <cellStyle name="Note 2 4 2 4" xfId="41137" xr:uid="{00000000-0005-0000-0000-000031A10000}"/>
    <cellStyle name="Note 2 4 2 4 2" xfId="41138" xr:uid="{00000000-0005-0000-0000-000032A10000}"/>
    <cellStyle name="Note 2 4 2 4 2 2" xfId="41139" xr:uid="{00000000-0005-0000-0000-000033A10000}"/>
    <cellStyle name="Note 2 4 2 4 3" xfId="41140" xr:uid="{00000000-0005-0000-0000-000034A10000}"/>
    <cellStyle name="Note 2 4 2 5" xfId="41141" xr:uid="{00000000-0005-0000-0000-000035A10000}"/>
    <cellStyle name="Note 2 4 2 5 2" xfId="41142" xr:uid="{00000000-0005-0000-0000-000036A10000}"/>
    <cellStyle name="Note 2 4 2 6" xfId="41143" xr:uid="{00000000-0005-0000-0000-000037A10000}"/>
    <cellStyle name="Note 2 4 3" xfId="41144" xr:uid="{00000000-0005-0000-0000-000038A10000}"/>
    <cellStyle name="Note 2 4 3 2" xfId="41145" xr:uid="{00000000-0005-0000-0000-000039A10000}"/>
    <cellStyle name="Note 2 4 3 2 2" xfId="41146" xr:uid="{00000000-0005-0000-0000-00003AA10000}"/>
    <cellStyle name="Note 2 4 3 2 2 2" xfId="41147" xr:uid="{00000000-0005-0000-0000-00003BA10000}"/>
    <cellStyle name="Note 2 4 3 2 2 2 2" xfId="41148" xr:uid="{00000000-0005-0000-0000-00003CA10000}"/>
    <cellStyle name="Note 2 4 3 2 2 3" xfId="41149" xr:uid="{00000000-0005-0000-0000-00003DA10000}"/>
    <cellStyle name="Note 2 4 3 2 3" xfId="41150" xr:uid="{00000000-0005-0000-0000-00003EA10000}"/>
    <cellStyle name="Note 2 4 3 2 3 2" xfId="41151" xr:uid="{00000000-0005-0000-0000-00003FA10000}"/>
    <cellStyle name="Note 2 4 3 2 3 2 2" xfId="41152" xr:uid="{00000000-0005-0000-0000-000040A10000}"/>
    <cellStyle name="Note 2 4 3 2 3 3" xfId="41153" xr:uid="{00000000-0005-0000-0000-000041A10000}"/>
    <cellStyle name="Note 2 4 3 2 4" xfId="41154" xr:uid="{00000000-0005-0000-0000-000042A10000}"/>
    <cellStyle name="Note 2 4 3 2 4 2" xfId="41155" xr:uid="{00000000-0005-0000-0000-000043A10000}"/>
    <cellStyle name="Note 2 4 3 2 5" xfId="41156" xr:uid="{00000000-0005-0000-0000-000044A10000}"/>
    <cellStyle name="Note 2 4 3 3" xfId="41157" xr:uid="{00000000-0005-0000-0000-000045A10000}"/>
    <cellStyle name="Note 2 4 3 3 2" xfId="41158" xr:uid="{00000000-0005-0000-0000-000046A10000}"/>
    <cellStyle name="Note 2 4 3 3 2 2" xfId="41159" xr:uid="{00000000-0005-0000-0000-000047A10000}"/>
    <cellStyle name="Note 2 4 3 3 2 2 2" xfId="41160" xr:uid="{00000000-0005-0000-0000-000048A10000}"/>
    <cellStyle name="Note 2 4 3 3 2 3" xfId="41161" xr:uid="{00000000-0005-0000-0000-000049A10000}"/>
    <cellStyle name="Note 2 4 3 3 3" xfId="41162" xr:uid="{00000000-0005-0000-0000-00004AA10000}"/>
    <cellStyle name="Note 2 4 3 3 3 2" xfId="41163" xr:uid="{00000000-0005-0000-0000-00004BA10000}"/>
    <cellStyle name="Note 2 4 3 3 4" xfId="41164" xr:uid="{00000000-0005-0000-0000-00004CA10000}"/>
    <cellStyle name="Note 2 4 3 4" xfId="41165" xr:uid="{00000000-0005-0000-0000-00004DA10000}"/>
    <cellStyle name="Note 2 4 3 4 2" xfId="41166" xr:uid="{00000000-0005-0000-0000-00004EA10000}"/>
    <cellStyle name="Note 2 4 3 4 2 2" xfId="41167" xr:uid="{00000000-0005-0000-0000-00004FA10000}"/>
    <cellStyle name="Note 2 4 3 4 3" xfId="41168" xr:uid="{00000000-0005-0000-0000-000050A10000}"/>
    <cellStyle name="Note 2 4 3 5" xfId="41169" xr:uid="{00000000-0005-0000-0000-000051A10000}"/>
    <cellStyle name="Note 2 4 3 5 2" xfId="41170" xr:uid="{00000000-0005-0000-0000-000052A10000}"/>
    <cellStyle name="Note 2 4 3 5 2 2" xfId="41171" xr:uid="{00000000-0005-0000-0000-000053A10000}"/>
    <cellStyle name="Note 2 4 3 5 3" xfId="41172" xr:uid="{00000000-0005-0000-0000-000054A10000}"/>
    <cellStyle name="Note 2 4 3 6" xfId="41173" xr:uid="{00000000-0005-0000-0000-000055A10000}"/>
    <cellStyle name="Note 2 4 3 6 2" xfId="41174" xr:uid="{00000000-0005-0000-0000-000056A10000}"/>
    <cellStyle name="Note 2 4 3 7" xfId="41175" xr:uid="{00000000-0005-0000-0000-000057A10000}"/>
    <cellStyle name="Note 2 4 4" xfId="41176" xr:uid="{00000000-0005-0000-0000-000058A10000}"/>
    <cellStyle name="Note 2 4 4 2" xfId="41177" xr:uid="{00000000-0005-0000-0000-000059A10000}"/>
    <cellStyle name="Note 2 4 4 2 2" xfId="41178" xr:uid="{00000000-0005-0000-0000-00005AA10000}"/>
    <cellStyle name="Note 2 4 4 2 2 2" xfId="41179" xr:uid="{00000000-0005-0000-0000-00005BA10000}"/>
    <cellStyle name="Note 2 4 4 2 3" xfId="41180" xr:uid="{00000000-0005-0000-0000-00005CA10000}"/>
    <cellStyle name="Note 2 4 4 3" xfId="41181" xr:uid="{00000000-0005-0000-0000-00005DA10000}"/>
    <cellStyle name="Note 2 4 4 3 2" xfId="41182" xr:uid="{00000000-0005-0000-0000-00005EA10000}"/>
    <cellStyle name="Note 2 4 4 4" xfId="41183" xr:uid="{00000000-0005-0000-0000-00005FA10000}"/>
    <cellStyle name="Note 2 4 5" xfId="41184" xr:uid="{00000000-0005-0000-0000-000060A10000}"/>
    <cellStyle name="Note 2 4 5 2" xfId="41185" xr:uid="{00000000-0005-0000-0000-000061A10000}"/>
    <cellStyle name="Note 2 4 5 2 2" xfId="41186" xr:uid="{00000000-0005-0000-0000-000062A10000}"/>
    <cellStyle name="Note 2 4 5 3" xfId="41187" xr:uid="{00000000-0005-0000-0000-000063A10000}"/>
    <cellStyle name="Note 2 4 6" xfId="41188" xr:uid="{00000000-0005-0000-0000-000064A10000}"/>
    <cellStyle name="Note 2 4 6 2" xfId="41189" xr:uid="{00000000-0005-0000-0000-000065A10000}"/>
    <cellStyle name="Note 2 4 6 2 2" xfId="41190" xr:uid="{00000000-0005-0000-0000-000066A10000}"/>
    <cellStyle name="Note 2 4 6 3" xfId="41191" xr:uid="{00000000-0005-0000-0000-000067A10000}"/>
    <cellStyle name="Note 2 4 7" xfId="41192" xr:uid="{00000000-0005-0000-0000-000068A10000}"/>
    <cellStyle name="Note 2 4 7 2" xfId="41193" xr:uid="{00000000-0005-0000-0000-000069A10000}"/>
    <cellStyle name="Note 2 4 8" xfId="41194" xr:uid="{00000000-0005-0000-0000-00006AA10000}"/>
    <cellStyle name="Note 2 5" xfId="41195" xr:uid="{00000000-0005-0000-0000-00006BA10000}"/>
    <cellStyle name="Note 2 5 2" xfId="41196" xr:uid="{00000000-0005-0000-0000-00006CA10000}"/>
    <cellStyle name="Note 2 5 2 2" xfId="41197" xr:uid="{00000000-0005-0000-0000-00006DA10000}"/>
    <cellStyle name="Note 2 5 2 2 2" xfId="41198" xr:uid="{00000000-0005-0000-0000-00006EA10000}"/>
    <cellStyle name="Note 2 5 2 2 2 2" xfId="41199" xr:uid="{00000000-0005-0000-0000-00006FA10000}"/>
    <cellStyle name="Note 2 5 2 2 2 2 2" xfId="41200" xr:uid="{00000000-0005-0000-0000-000070A10000}"/>
    <cellStyle name="Note 2 5 2 2 2 2 2 2" xfId="41201" xr:uid="{00000000-0005-0000-0000-000071A10000}"/>
    <cellStyle name="Note 2 5 2 2 2 2 3" xfId="41202" xr:uid="{00000000-0005-0000-0000-000072A10000}"/>
    <cellStyle name="Note 2 5 2 2 2 3" xfId="41203" xr:uid="{00000000-0005-0000-0000-000073A10000}"/>
    <cellStyle name="Note 2 5 2 2 2 3 2" xfId="41204" xr:uid="{00000000-0005-0000-0000-000074A10000}"/>
    <cellStyle name="Note 2 5 2 2 2 4" xfId="41205" xr:uid="{00000000-0005-0000-0000-000075A10000}"/>
    <cellStyle name="Note 2 5 2 2 3" xfId="41206" xr:uid="{00000000-0005-0000-0000-000076A10000}"/>
    <cellStyle name="Note 2 5 2 2 3 2" xfId="41207" xr:uid="{00000000-0005-0000-0000-000077A10000}"/>
    <cellStyle name="Note 2 5 2 2 3 2 2" xfId="41208" xr:uid="{00000000-0005-0000-0000-000078A10000}"/>
    <cellStyle name="Note 2 5 2 2 3 3" xfId="41209" xr:uid="{00000000-0005-0000-0000-000079A10000}"/>
    <cellStyle name="Note 2 5 2 2 4" xfId="41210" xr:uid="{00000000-0005-0000-0000-00007AA10000}"/>
    <cellStyle name="Note 2 5 2 2 4 2" xfId="41211" xr:uid="{00000000-0005-0000-0000-00007BA10000}"/>
    <cellStyle name="Note 2 5 2 2 5" xfId="41212" xr:uid="{00000000-0005-0000-0000-00007CA10000}"/>
    <cellStyle name="Note 2 5 2 3" xfId="41213" xr:uid="{00000000-0005-0000-0000-00007DA10000}"/>
    <cellStyle name="Note 2 5 2 3 2" xfId="41214" xr:uid="{00000000-0005-0000-0000-00007EA10000}"/>
    <cellStyle name="Note 2 5 2 3 2 2" xfId="41215" xr:uid="{00000000-0005-0000-0000-00007FA10000}"/>
    <cellStyle name="Note 2 5 2 3 3" xfId="41216" xr:uid="{00000000-0005-0000-0000-000080A10000}"/>
    <cellStyle name="Note 2 5 2 4" xfId="41217" xr:uid="{00000000-0005-0000-0000-000081A10000}"/>
    <cellStyle name="Note 2 5 2 4 2" xfId="41218" xr:uid="{00000000-0005-0000-0000-000082A10000}"/>
    <cellStyle name="Note 2 5 2 4 2 2" xfId="41219" xr:uid="{00000000-0005-0000-0000-000083A10000}"/>
    <cellStyle name="Note 2 5 2 4 3" xfId="41220" xr:uid="{00000000-0005-0000-0000-000084A10000}"/>
    <cellStyle name="Note 2 5 2 5" xfId="41221" xr:uid="{00000000-0005-0000-0000-000085A10000}"/>
    <cellStyle name="Note 2 5 2 5 2" xfId="41222" xr:uid="{00000000-0005-0000-0000-000086A10000}"/>
    <cellStyle name="Note 2 5 2 5 2 2" xfId="41223" xr:uid="{00000000-0005-0000-0000-000087A10000}"/>
    <cellStyle name="Note 2 5 2 5 2 2 2" xfId="41224" xr:uid="{00000000-0005-0000-0000-000088A10000}"/>
    <cellStyle name="Note 2 5 2 5 2 3" xfId="41225" xr:uid="{00000000-0005-0000-0000-000089A10000}"/>
    <cellStyle name="Note 2 5 2 5 3" xfId="41226" xr:uid="{00000000-0005-0000-0000-00008AA10000}"/>
    <cellStyle name="Note 2 5 2 5 3 2" xfId="41227" xr:uid="{00000000-0005-0000-0000-00008BA10000}"/>
    <cellStyle name="Note 2 5 2 5 4" xfId="41228" xr:uid="{00000000-0005-0000-0000-00008CA10000}"/>
    <cellStyle name="Note 2 5 2 6" xfId="41229" xr:uid="{00000000-0005-0000-0000-00008DA10000}"/>
    <cellStyle name="Note 2 5 2 6 2" xfId="41230" xr:uid="{00000000-0005-0000-0000-00008EA10000}"/>
    <cellStyle name="Note 2 5 2 6 2 2" xfId="41231" xr:uid="{00000000-0005-0000-0000-00008FA10000}"/>
    <cellStyle name="Note 2 5 2 6 3" xfId="41232" xr:uid="{00000000-0005-0000-0000-000090A10000}"/>
    <cellStyle name="Note 2 5 2 7" xfId="41233" xr:uid="{00000000-0005-0000-0000-000091A10000}"/>
    <cellStyle name="Note 2 5 2 7 2" xfId="41234" xr:uid="{00000000-0005-0000-0000-000092A10000}"/>
    <cellStyle name="Note 2 5 2 8" xfId="41235" xr:uid="{00000000-0005-0000-0000-000093A10000}"/>
    <cellStyle name="Note 2 5 3" xfId="41236" xr:uid="{00000000-0005-0000-0000-000094A10000}"/>
    <cellStyle name="Note 2 5 3 2" xfId="41237" xr:uid="{00000000-0005-0000-0000-000095A10000}"/>
    <cellStyle name="Note 2 5 3 2 2" xfId="41238" xr:uid="{00000000-0005-0000-0000-000096A10000}"/>
    <cellStyle name="Note 2 5 3 2 2 2" xfId="41239" xr:uid="{00000000-0005-0000-0000-000097A10000}"/>
    <cellStyle name="Note 2 5 3 2 2 2 2" xfId="41240" xr:uid="{00000000-0005-0000-0000-000098A10000}"/>
    <cellStyle name="Note 2 5 3 2 2 2 2 2" xfId="41241" xr:uid="{00000000-0005-0000-0000-000099A10000}"/>
    <cellStyle name="Note 2 5 3 2 2 2 3" xfId="41242" xr:uid="{00000000-0005-0000-0000-00009AA10000}"/>
    <cellStyle name="Note 2 5 3 2 2 3" xfId="41243" xr:uid="{00000000-0005-0000-0000-00009BA10000}"/>
    <cellStyle name="Note 2 5 3 2 2 3 2" xfId="41244" xr:uid="{00000000-0005-0000-0000-00009CA10000}"/>
    <cellStyle name="Note 2 5 3 2 2 4" xfId="41245" xr:uid="{00000000-0005-0000-0000-00009DA10000}"/>
    <cellStyle name="Note 2 5 3 2 3" xfId="41246" xr:uid="{00000000-0005-0000-0000-00009EA10000}"/>
    <cellStyle name="Note 2 5 3 2 3 2" xfId="41247" xr:uid="{00000000-0005-0000-0000-00009FA10000}"/>
    <cellStyle name="Note 2 5 3 2 3 2 2" xfId="41248" xr:uid="{00000000-0005-0000-0000-0000A0A10000}"/>
    <cellStyle name="Note 2 5 3 2 3 3" xfId="41249" xr:uid="{00000000-0005-0000-0000-0000A1A10000}"/>
    <cellStyle name="Note 2 5 3 2 4" xfId="41250" xr:uid="{00000000-0005-0000-0000-0000A2A10000}"/>
    <cellStyle name="Note 2 5 3 2 4 2" xfId="41251" xr:uid="{00000000-0005-0000-0000-0000A3A10000}"/>
    <cellStyle name="Note 2 5 3 2 5" xfId="41252" xr:uid="{00000000-0005-0000-0000-0000A4A10000}"/>
    <cellStyle name="Note 2 5 3 3" xfId="41253" xr:uid="{00000000-0005-0000-0000-0000A5A10000}"/>
    <cellStyle name="Note 2 5 3 3 2" xfId="41254" xr:uid="{00000000-0005-0000-0000-0000A6A10000}"/>
    <cellStyle name="Note 2 5 3 3 2 2" xfId="41255" xr:uid="{00000000-0005-0000-0000-0000A7A10000}"/>
    <cellStyle name="Note 2 5 3 3 2 2 2" xfId="41256" xr:uid="{00000000-0005-0000-0000-0000A8A10000}"/>
    <cellStyle name="Note 2 5 3 3 2 3" xfId="41257" xr:uid="{00000000-0005-0000-0000-0000A9A10000}"/>
    <cellStyle name="Note 2 5 3 3 3" xfId="41258" xr:uid="{00000000-0005-0000-0000-0000AAA10000}"/>
    <cellStyle name="Note 2 5 3 3 3 2" xfId="41259" xr:uid="{00000000-0005-0000-0000-0000ABA10000}"/>
    <cellStyle name="Note 2 5 3 3 4" xfId="41260" xr:uid="{00000000-0005-0000-0000-0000ACA10000}"/>
    <cellStyle name="Note 2 5 3 4" xfId="41261" xr:uid="{00000000-0005-0000-0000-0000ADA10000}"/>
    <cellStyle name="Note 2 5 3 4 2" xfId="41262" xr:uid="{00000000-0005-0000-0000-0000AEA10000}"/>
    <cellStyle name="Note 2 5 3 4 2 2" xfId="41263" xr:uid="{00000000-0005-0000-0000-0000AFA10000}"/>
    <cellStyle name="Note 2 5 3 4 3" xfId="41264" xr:uid="{00000000-0005-0000-0000-0000B0A10000}"/>
    <cellStyle name="Note 2 5 3 5" xfId="41265" xr:uid="{00000000-0005-0000-0000-0000B1A10000}"/>
    <cellStyle name="Note 2 5 3 5 2" xfId="41266" xr:uid="{00000000-0005-0000-0000-0000B2A10000}"/>
    <cellStyle name="Note 2 5 3 6" xfId="41267" xr:uid="{00000000-0005-0000-0000-0000B3A10000}"/>
    <cellStyle name="Note 2 5 4" xfId="41268" xr:uid="{00000000-0005-0000-0000-0000B4A10000}"/>
    <cellStyle name="Note 2 5 4 2" xfId="41269" xr:uid="{00000000-0005-0000-0000-0000B5A10000}"/>
    <cellStyle name="Note 2 5 4 2 2" xfId="41270" xr:uid="{00000000-0005-0000-0000-0000B6A10000}"/>
    <cellStyle name="Note 2 5 4 3" xfId="41271" xr:uid="{00000000-0005-0000-0000-0000B7A10000}"/>
    <cellStyle name="Note 2 5 5" xfId="41272" xr:uid="{00000000-0005-0000-0000-0000B8A10000}"/>
    <cellStyle name="Note 2 5 5 2" xfId="41273" xr:uid="{00000000-0005-0000-0000-0000B9A10000}"/>
    <cellStyle name="Note 2 5 5 2 2" xfId="41274" xr:uid="{00000000-0005-0000-0000-0000BAA10000}"/>
    <cellStyle name="Note 2 5 5 3" xfId="41275" xr:uid="{00000000-0005-0000-0000-0000BBA10000}"/>
    <cellStyle name="Note 2 5 6" xfId="41276" xr:uid="{00000000-0005-0000-0000-0000BCA10000}"/>
    <cellStyle name="Note 2 5 6 2" xfId="41277" xr:uid="{00000000-0005-0000-0000-0000BDA10000}"/>
    <cellStyle name="Note 2 5 6 2 2" xfId="41278" xr:uid="{00000000-0005-0000-0000-0000BEA10000}"/>
    <cellStyle name="Note 2 5 6 2 2 2" xfId="41279" xr:uid="{00000000-0005-0000-0000-0000BFA10000}"/>
    <cellStyle name="Note 2 5 6 2 3" xfId="41280" xr:uid="{00000000-0005-0000-0000-0000C0A10000}"/>
    <cellStyle name="Note 2 5 6 3" xfId="41281" xr:uid="{00000000-0005-0000-0000-0000C1A10000}"/>
    <cellStyle name="Note 2 5 6 3 2" xfId="41282" xr:uid="{00000000-0005-0000-0000-0000C2A10000}"/>
    <cellStyle name="Note 2 5 6 4" xfId="41283" xr:uid="{00000000-0005-0000-0000-0000C3A10000}"/>
    <cellStyle name="Note 2 5 7" xfId="41284" xr:uid="{00000000-0005-0000-0000-0000C4A10000}"/>
    <cellStyle name="Note 2 5 7 2" xfId="41285" xr:uid="{00000000-0005-0000-0000-0000C5A10000}"/>
    <cellStyle name="Note 2 5 7 2 2" xfId="41286" xr:uid="{00000000-0005-0000-0000-0000C6A10000}"/>
    <cellStyle name="Note 2 5 7 3" xfId="41287" xr:uid="{00000000-0005-0000-0000-0000C7A10000}"/>
    <cellStyle name="Note 2 5 8" xfId="41288" xr:uid="{00000000-0005-0000-0000-0000C8A10000}"/>
    <cellStyle name="Note 2 5 8 2" xfId="41289" xr:uid="{00000000-0005-0000-0000-0000C9A10000}"/>
    <cellStyle name="Note 2 5 9" xfId="41290" xr:uid="{00000000-0005-0000-0000-0000CAA10000}"/>
    <cellStyle name="Note 2 6" xfId="41291" xr:uid="{00000000-0005-0000-0000-0000CBA10000}"/>
    <cellStyle name="Note 2 6 2" xfId="41292" xr:uid="{00000000-0005-0000-0000-0000CCA10000}"/>
    <cellStyle name="Note 2 6 2 2" xfId="41293" xr:uid="{00000000-0005-0000-0000-0000CDA10000}"/>
    <cellStyle name="Note 2 6 2 2 2" xfId="41294" xr:uid="{00000000-0005-0000-0000-0000CEA10000}"/>
    <cellStyle name="Note 2 6 2 3" xfId="41295" xr:uid="{00000000-0005-0000-0000-0000CFA10000}"/>
    <cellStyle name="Note 2 6 2 3 2" xfId="41296" xr:uid="{00000000-0005-0000-0000-0000D0A10000}"/>
    <cellStyle name="Note 2 6 2 3 2 2" xfId="41297" xr:uid="{00000000-0005-0000-0000-0000D1A10000}"/>
    <cellStyle name="Note 2 6 2 3 3" xfId="41298" xr:uid="{00000000-0005-0000-0000-0000D2A10000}"/>
    <cellStyle name="Note 2 6 2 4" xfId="41299" xr:uid="{00000000-0005-0000-0000-0000D3A10000}"/>
    <cellStyle name="Note 2 6 2 4 2" xfId="41300" xr:uid="{00000000-0005-0000-0000-0000D4A10000}"/>
    <cellStyle name="Note 2 6 2 4 2 2" xfId="41301" xr:uid="{00000000-0005-0000-0000-0000D5A10000}"/>
    <cellStyle name="Note 2 6 2 4 3" xfId="41302" xr:uid="{00000000-0005-0000-0000-0000D6A10000}"/>
    <cellStyle name="Note 2 6 2 5" xfId="41303" xr:uid="{00000000-0005-0000-0000-0000D7A10000}"/>
    <cellStyle name="Note 2 6 3" xfId="41304" xr:uid="{00000000-0005-0000-0000-0000D8A10000}"/>
    <cellStyle name="Note 2 6 3 2" xfId="41305" xr:uid="{00000000-0005-0000-0000-0000D9A10000}"/>
    <cellStyle name="Note 2 6 3 2 2" xfId="41306" xr:uid="{00000000-0005-0000-0000-0000DAA10000}"/>
    <cellStyle name="Note 2 6 3 2 2 2" xfId="41307" xr:uid="{00000000-0005-0000-0000-0000DBA10000}"/>
    <cellStyle name="Note 2 6 3 2 3" xfId="41308" xr:uid="{00000000-0005-0000-0000-0000DCA10000}"/>
    <cellStyle name="Note 2 6 3 2 3 2" xfId="41309" xr:uid="{00000000-0005-0000-0000-0000DDA10000}"/>
    <cellStyle name="Note 2 6 3 2 3 2 2" xfId="41310" xr:uid="{00000000-0005-0000-0000-0000DEA10000}"/>
    <cellStyle name="Note 2 6 3 2 3 3" xfId="41311" xr:uid="{00000000-0005-0000-0000-0000DFA10000}"/>
    <cellStyle name="Note 2 6 3 2 4" xfId="41312" xr:uid="{00000000-0005-0000-0000-0000E0A10000}"/>
    <cellStyle name="Note 2 6 3 3" xfId="41313" xr:uid="{00000000-0005-0000-0000-0000E1A10000}"/>
    <cellStyle name="Note 2 6 3 3 2" xfId="41314" xr:uid="{00000000-0005-0000-0000-0000E2A10000}"/>
    <cellStyle name="Note 2 6 3 3 2 2" xfId="41315" xr:uid="{00000000-0005-0000-0000-0000E3A10000}"/>
    <cellStyle name="Note 2 6 3 3 3" xfId="41316" xr:uid="{00000000-0005-0000-0000-0000E4A10000}"/>
    <cellStyle name="Note 2 6 3 4" xfId="41317" xr:uid="{00000000-0005-0000-0000-0000E5A10000}"/>
    <cellStyle name="Note 2 6 3 4 2" xfId="41318" xr:uid="{00000000-0005-0000-0000-0000E6A10000}"/>
    <cellStyle name="Note 2 6 3 4 2 2" xfId="41319" xr:uid="{00000000-0005-0000-0000-0000E7A10000}"/>
    <cellStyle name="Note 2 6 3 4 3" xfId="41320" xr:uid="{00000000-0005-0000-0000-0000E8A10000}"/>
    <cellStyle name="Note 2 6 3 5" xfId="41321" xr:uid="{00000000-0005-0000-0000-0000E9A10000}"/>
    <cellStyle name="Note 2 6 3 5 2" xfId="41322" xr:uid="{00000000-0005-0000-0000-0000EAA10000}"/>
    <cellStyle name="Note 2 6 3 5 2 2" xfId="41323" xr:uid="{00000000-0005-0000-0000-0000EBA10000}"/>
    <cellStyle name="Note 2 6 3 5 3" xfId="41324" xr:uid="{00000000-0005-0000-0000-0000ECA10000}"/>
    <cellStyle name="Note 2 6 3 6" xfId="41325" xr:uid="{00000000-0005-0000-0000-0000EDA10000}"/>
    <cellStyle name="Note 2 6 4" xfId="41326" xr:uid="{00000000-0005-0000-0000-0000EEA10000}"/>
    <cellStyle name="Note 2 6 4 2" xfId="41327" xr:uid="{00000000-0005-0000-0000-0000EFA10000}"/>
    <cellStyle name="Note 2 6 4 2 2" xfId="41328" xr:uid="{00000000-0005-0000-0000-0000F0A10000}"/>
    <cellStyle name="Note 2 6 4 3" xfId="41329" xr:uid="{00000000-0005-0000-0000-0000F1A10000}"/>
    <cellStyle name="Note 2 6 5" xfId="41330" xr:uid="{00000000-0005-0000-0000-0000F2A10000}"/>
    <cellStyle name="Note 2 6 5 2" xfId="41331" xr:uid="{00000000-0005-0000-0000-0000F3A10000}"/>
    <cellStyle name="Note 2 6 5 2 2" xfId="41332" xr:uid="{00000000-0005-0000-0000-0000F4A10000}"/>
    <cellStyle name="Note 2 6 5 3" xfId="41333" xr:uid="{00000000-0005-0000-0000-0000F5A10000}"/>
    <cellStyle name="Note 2 6 6" xfId="41334" xr:uid="{00000000-0005-0000-0000-0000F6A10000}"/>
    <cellStyle name="Note 2 6 6 2" xfId="41335" xr:uid="{00000000-0005-0000-0000-0000F7A10000}"/>
    <cellStyle name="Note 2 6 6 2 2" xfId="41336" xr:uid="{00000000-0005-0000-0000-0000F8A10000}"/>
    <cellStyle name="Note 2 6 6 3" xfId="41337" xr:uid="{00000000-0005-0000-0000-0000F9A10000}"/>
    <cellStyle name="Note 2 6 7" xfId="41338" xr:uid="{00000000-0005-0000-0000-0000FAA10000}"/>
    <cellStyle name="Note 2 7" xfId="41339" xr:uid="{00000000-0005-0000-0000-0000FBA10000}"/>
    <cellStyle name="Note 2 7 10" xfId="41340" xr:uid="{00000000-0005-0000-0000-0000FCA10000}"/>
    <cellStyle name="Note 2 7 2" xfId="41341" xr:uid="{00000000-0005-0000-0000-0000FDA10000}"/>
    <cellStyle name="Note 2 7 2 2" xfId="41342" xr:uid="{00000000-0005-0000-0000-0000FEA10000}"/>
    <cellStyle name="Note 2 7 2 2 2" xfId="41343" xr:uid="{00000000-0005-0000-0000-0000FFA10000}"/>
    <cellStyle name="Note 2 7 2 2 2 2" xfId="41344" xr:uid="{00000000-0005-0000-0000-000000A20000}"/>
    <cellStyle name="Note 2 7 2 2 2 2 2" xfId="41345" xr:uid="{00000000-0005-0000-0000-000001A20000}"/>
    <cellStyle name="Note 2 7 2 2 2 2 2 2" xfId="41346" xr:uid="{00000000-0005-0000-0000-000002A20000}"/>
    <cellStyle name="Note 2 7 2 2 2 2 3" xfId="41347" xr:uid="{00000000-0005-0000-0000-000003A20000}"/>
    <cellStyle name="Note 2 7 2 2 2 3" xfId="41348" xr:uid="{00000000-0005-0000-0000-000004A20000}"/>
    <cellStyle name="Note 2 7 2 2 2 3 2" xfId="41349" xr:uid="{00000000-0005-0000-0000-000005A20000}"/>
    <cellStyle name="Note 2 7 2 2 2 4" xfId="41350" xr:uid="{00000000-0005-0000-0000-000006A20000}"/>
    <cellStyle name="Note 2 7 2 2 3" xfId="41351" xr:uid="{00000000-0005-0000-0000-000007A20000}"/>
    <cellStyle name="Note 2 7 2 2 3 2" xfId="41352" xr:uid="{00000000-0005-0000-0000-000008A20000}"/>
    <cellStyle name="Note 2 7 2 2 3 2 2" xfId="41353" xr:uid="{00000000-0005-0000-0000-000009A20000}"/>
    <cellStyle name="Note 2 7 2 2 3 3" xfId="41354" xr:uid="{00000000-0005-0000-0000-00000AA20000}"/>
    <cellStyle name="Note 2 7 2 2 4" xfId="41355" xr:uid="{00000000-0005-0000-0000-00000BA20000}"/>
    <cellStyle name="Note 2 7 2 2 4 2" xfId="41356" xr:uid="{00000000-0005-0000-0000-00000CA20000}"/>
    <cellStyle name="Note 2 7 2 2 5" xfId="41357" xr:uid="{00000000-0005-0000-0000-00000DA20000}"/>
    <cellStyle name="Note 2 7 2 3" xfId="41358" xr:uid="{00000000-0005-0000-0000-00000EA20000}"/>
    <cellStyle name="Note 2 7 2 3 2" xfId="41359" xr:uid="{00000000-0005-0000-0000-00000FA20000}"/>
    <cellStyle name="Note 2 7 2 3 2 2" xfId="41360" xr:uid="{00000000-0005-0000-0000-000010A20000}"/>
    <cellStyle name="Note 2 7 2 3 3" xfId="41361" xr:uid="{00000000-0005-0000-0000-000011A20000}"/>
    <cellStyle name="Note 2 7 2 4" xfId="41362" xr:uid="{00000000-0005-0000-0000-000012A20000}"/>
    <cellStyle name="Note 2 7 2 4 2" xfId="41363" xr:uid="{00000000-0005-0000-0000-000013A20000}"/>
    <cellStyle name="Note 2 7 2 4 2 2" xfId="41364" xr:uid="{00000000-0005-0000-0000-000014A20000}"/>
    <cellStyle name="Note 2 7 2 4 3" xfId="41365" xr:uid="{00000000-0005-0000-0000-000015A20000}"/>
    <cellStyle name="Note 2 7 2 5" xfId="41366" xr:uid="{00000000-0005-0000-0000-000016A20000}"/>
    <cellStyle name="Note 2 7 2 5 2" xfId="41367" xr:uid="{00000000-0005-0000-0000-000017A20000}"/>
    <cellStyle name="Note 2 7 2 5 2 2" xfId="41368" xr:uid="{00000000-0005-0000-0000-000018A20000}"/>
    <cellStyle name="Note 2 7 2 5 2 2 2" xfId="41369" xr:uid="{00000000-0005-0000-0000-000019A20000}"/>
    <cellStyle name="Note 2 7 2 5 2 3" xfId="41370" xr:uid="{00000000-0005-0000-0000-00001AA20000}"/>
    <cellStyle name="Note 2 7 2 5 3" xfId="41371" xr:uid="{00000000-0005-0000-0000-00001BA20000}"/>
    <cellStyle name="Note 2 7 2 5 3 2" xfId="41372" xr:uid="{00000000-0005-0000-0000-00001CA20000}"/>
    <cellStyle name="Note 2 7 2 5 4" xfId="41373" xr:uid="{00000000-0005-0000-0000-00001DA20000}"/>
    <cellStyle name="Note 2 7 2 6" xfId="41374" xr:uid="{00000000-0005-0000-0000-00001EA20000}"/>
    <cellStyle name="Note 2 7 2 6 2" xfId="41375" xr:uid="{00000000-0005-0000-0000-00001FA20000}"/>
    <cellStyle name="Note 2 7 2 6 2 2" xfId="41376" xr:uid="{00000000-0005-0000-0000-000020A20000}"/>
    <cellStyle name="Note 2 7 2 6 3" xfId="41377" xr:uid="{00000000-0005-0000-0000-000021A20000}"/>
    <cellStyle name="Note 2 7 2 7" xfId="41378" xr:uid="{00000000-0005-0000-0000-000022A20000}"/>
    <cellStyle name="Note 2 7 2 7 2" xfId="41379" xr:uid="{00000000-0005-0000-0000-000023A20000}"/>
    <cellStyle name="Note 2 7 2 8" xfId="41380" xr:uid="{00000000-0005-0000-0000-000024A20000}"/>
    <cellStyle name="Note 2 7 3" xfId="41381" xr:uid="{00000000-0005-0000-0000-000025A20000}"/>
    <cellStyle name="Note 2 7 3 2" xfId="41382" xr:uid="{00000000-0005-0000-0000-000026A20000}"/>
    <cellStyle name="Note 2 7 3 2 2" xfId="41383" xr:uid="{00000000-0005-0000-0000-000027A20000}"/>
    <cellStyle name="Note 2 7 3 2 2 2" xfId="41384" xr:uid="{00000000-0005-0000-0000-000028A20000}"/>
    <cellStyle name="Note 2 7 3 2 2 2 2" xfId="41385" xr:uid="{00000000-0005-0000-0000-000029A20000}"/>
    <cellStyle name="Note 2 7 3 2 2 2 2 2" xfId="41386" xr:uid="{00000000-0005-0000-0000-00002AA20000}"/>
    <cellStyle name="Note 2 7 3 2 2 2 2 2 2" xfId="41387" xr:uid="{00000000-0005-0000-0000-00002BA20000}"/>
    <cellStyle name="Note 2 7 3 2 2 2 2 3" xfId="41388" xr:uid="{00000000-0005-0000-0000-00002CA20000}"/>
    <cellStyle name="Note 2 7 3 2 2 2 3" xfId="41389" xr:uid="{00000000-0005-0000-0000-00002DA20000}"/>
    <cellStyle name="Note 2 7 3 2 2 2 3 2" xfId="41390" xr:uid="{00000000-0005-0000-0000-00002EA20000}"/>
    <cellStyle name="Note 2 7 3 2 2 2 4" xfId="41391" xr:uid="{00000000-0005-0000-0000-00002FA20000}"/>
    <cellStyle name="Note 2 7 3 2 2 3" xfId="41392" xr:uid="{00000000-0005-0000-0000-000030A20000}"/>
    <cellStyle name="Note 2 7 3 2 2 3 2" xfId="41393" xr:uid="{00000000-0005-0000-0000-000031A20000}"/>
    <cellStyle name="Note 2 7 3 2 2 3 2 2" xfId="41394" xr:uid="{00000000-0005-0000-0000-000032A20000}"/>
    <cellStyle name="Note 2 7 3 2 2 3 3" xfId="41395" xr:uid="{00000000-0005-0000-0000-000033A20000}"/>
    <cellStyle name="Note 2 7 3 2 2 4" xfId="41396" xr:uid="{00000000-0005-0000-0000-000034A20000}"/>
    <cellStyle name="Note 2 7 3 2 2 4 2" xfId="41397" xr:uid="{00000000-0005-0000-0000-000035A20000}"/>
    <cellStyle name="Note 2 7 3 2 2 5" xfId="41398" xr:uid="{00000000-0005-0000-0000-000036A20000}"/>
    <cellStyle name="Note 2 7 3 2 3" xfId="41399" xr:uid="{00000000-0005-0000-0000-000037A20000}"/>
    <cellStyle name="Note 2 7 3 2 3 2" xfId="41400" xr:uid="{00000000-0005-0000-0000-000038A20000}"/>
    <cellStyle name="Note 2 7 3 2 3 2 2" xfId="41401" xr:uid="{00000000-0005-0000-0000-000039A20000}"/>
    <cellStyle name="Note 2 7 3 2 3 3" xfId="41402" xr:uid="{00000000-0005-0000-0000-00003AA20000}"/>
    <cellStyle name="Note 2 7 3 2 4" xfId="41403" xr:uid="{00000000-0005-0000-0000-00003BA20000}"/>
    <cellStyle name="Note 2 7 3 2 4 2" xfId="41404" xr:uid="{00000000-0005-0000-0000-00003CA20000}"/>
    <cellStyle name="Note 2 7 3 2 4 2 2" xfId="41405" xr:uid="{00000000-0005-0000-0000-00003DA20000}"/>
    <cellStyle name="Note 2 7 3 2 4 2 2 2" xfId="41406" xr:uid="{00000000-0005-0000-0000-00003EA20000}"/>
    <cellStyle name="Note 2 7 3 2 4 2 3" xfId="41407" xr:uid="{00000000-0005-0000-0000-00003FA20000}"/>
    <cellStyle name="Note 2 7 3 2 4 3" xfId="41408" xr:uid="{00000000-0005-0000-0000-000040A20000}"/>
    <cellStyle name="Note 2 7 3 2 4 3 2" xfId="41409" xr:uid="{00000000-0005-0000-0000-000041A20000}"/>
    <cellStyle name="Note 2 7 3 2 4 4" xfId="41410" xr:uid="{00000000-0005-0000-0000-000042A20000}"/>
    <cellStyle name="Note 2 7 3 2 5" xfId="41411" xr:uid="{00000000-0005-0000-0000-000043A20000}"/>
    <cellStyle name="Note 2 7 3 2 5 2" xfId="41412" xr:uid="{00000000-0005-0000-0000-000044A20000}"/>
    <cellStyle name="Note 2 7 3 2 5 2 2" xfId="41413" xr:uid="{00000000-0005-0000-0000-000045A20000}"/>
    <cellStyle name="Note 2 7 3 2 5 3" xfId="41414" xr:uid="{00000000-0005-0000-0000-000046A20000}"/>
    <cellStyle name="Note 2 7 3 2 6" xfId="41415" xr:uid="{00000000-0005-0000-0000-000047A20000}"/>
    <cellStyle name="Note 2 7 3 2 6 2" xfId="41416" xr:uid="{00000000-0005-0000-0000-000048A20000}"/>
    <cellStyle name="Note 2 7 3 2 7" xfId="41417" xr:uid="{00000000-0005-0000-0000-000049A20000}"/>
    <cellStyle name="Note 2 7 3 3" xfId="41418" xr:uid="{00000000-0005-0000-0000-00004AA20000}"/>
    <cellStyle name="Note 2 7 3 3 2" xfId="41419" xr:uid="{00000000-0005-0000-0000-00004BA20000}"/>
    <cellStyle name="Note 2 7 3 3 2 2" xfId="41420" xr:uid="{00000000-0005-0000-0000-00004CA20000}"/>
    <cellStyle name="Note 2 7 3 3 2 2 2" xfId="41421" xr:uid="{00000000-0005-0000-0000-00004DA20000}"/>
    <cellStyle name="Note 2 7 3 3 2 2 2 2" xfId="41422" xr:uid="{00000000-0005-0000-0000-00004EA20000}"/>
    <cellStyle name="Note 2 7 3 3 2 2 2 2 2" xfId="41423" xr:uid="{00000000-0005-0000-0000-00004FA20000}"/>
    <cellStyle name="Note 2 7 3 3 2 2 2 3" xfId="41424" xr:uid="{00000000-0005-0000-0000-000050A20000}"/>
    <cellStyle name="Note 2 7 3 3 2 2 3" xfId="41425" xr:uid="{00000000-0005-0000-0000-000051A20000}"/>
    <cellStyle name="Note 2 7 3 3 2 2 3 2" xfId="41426" xr:uid="{00000000-0005-0000-0000-000052A20000}"/>
    <cellStyle name="Note 2 7 3 3 2 2 4" xfId="41427" xr:uid="{00000000-0005-0000-0000-000053A20000}"/>
    <cellStyle name="Note 2 7 3 3 2 3" xfId="41428" xr:uid="{00000000-0005-0000-0000-000054A20000}"/>
    <cellStyle name="Note 2 7 3 3 2 3 2" xfId="41429" xr:uid="{00000000-0005-0000-0000-000055A20000}"/>
    <cellStyle name="Note 2 7 3 3 2 3 2 2" xfId="41430" xr:uid="{00000000-0005-0000-0000-000056A20000}"/>
    <cellStyle name="Note 2 7 3 3 2 3 3" xfId="41431" xr:uid="{00000000-0005-0000-0000-000057A20000}"/>
    <cellStyle name="Note 2 7 3 3 2 4" xfId="41432" xr:uid="{00000000-0005-0000-0000-000058A20000}"/>
    <cellStyle name="Note 2 7 3 3 2 4 2" xfId="41433" xr:uid="{00000000-0005-0000-0000-000059A20000}"/>
    <cellStyle name="Note 2 7 3 3 2 5" xfId="41434" xr:uid="{00000000-0005-0000-0000-00005AA20000}"/>
    <cellStyle name="Note 2 7 3 3 3" xfId="41435" xr:uid="{00000000-0005-0000-0000-00005BA20000}"/>
    <cellStyle name="Note 2 7 3 3 3 2" xfId="41436" xr:uid="{00000000-0005-0000-0000-00005CA20000}"/>
    <cellStyle name="Note 2 7 3 3 3 2 2" xfId="41437" xr:uid="{00000000-0005-0000-0000-00005DA20000}"/>
    <cellStyle name="Note 2 7 3 3 3 2 2 2" xfId="41438" xr:uid="{00000000-0005-0000-0000-00005EA20000}"/>
    <cellStyle name="Note 2 7 3 3 3 2 3" xfId="41439" xr:uid="{00000000-0005-0000-0000-00005FA20000}"/>
    <cellStyle name="Note 2 7 3 3 3 3" xfId="41440" xr:uid="{00000000-0005-0000-0000-000060A20000}"/>
    <cellStyle name="Note 2 7 3 3 3 3 2" xfId="41441" xr:uid="{00000000-0005-0000-0000-000061A20000}"/>
    <cellStyle name="Note 2 7 3 3 3 4" xfId="41442" xr:uid="{00000000-0005-0000-0000-000062A20000}"/>
    <cellStyle name="Note 2 7 3 3 4" xfId="41443" xr:uid="{00000000-0005-0000-0000-000063A20000}"/>
    <cellStyle name="Note 2 7 3 3 4 2" xfId="41444" xr:uid="{00000000-0005-0000-0000-000064A20000}"/>
    <cellStyle name="Note 2 7 3 3 4 2 2" xfId="41445" xr:uid="{00000000-0005-0000-0000-000065A20000}"/>
    <cellStyle name="Note 2 7 3 3 4 3" xfId="41446" xr:uid="{00000000-0005-0000-0000-000066A20000}"/>
    <cellStyle name="Note 2 7 3 3 5" xfId="41447" xr:uid="{00000000-0005-0000-0000-000067A20000}"/>
    <cellStyle name="Note 2 7 3 3 5 2" xfId="41448" xr:uid="{00000000-0005-0000-0000-000068A20000}"/>
    <cellStyle name="Note 2 7 3 3 6" xfId="41449" xr:uid="{00000000-0005-0000-0000-000069A20000}"/>
    <cellStyle name="Note 2 7 3 4" xfId="41450" xr:uid="{00000000-0005-0000-0000-00006AA20000}"/>
    <cellStyle name="Note 2 7 3 4 2" xfId="41451" xr:uid="{00000000-0005-0000-0000-00006BA20000}"/>
    <cellStyle name="Note 2 7 3 4 2 2" xfId="41452" xr:uid="{00000000-0005-0000-0000-00006CA20000}"/>
    <cellStyle name="Note 2 7 3 4 3" xfId="41453" xr:uid="{00000000-0005-0000-0000-00006DA20000}"/>
    <cellStyle name="Note 2 7 3 5" xfId="41454" xr:uid="{00000000-0005-0000-0000-00006EA20000}"/>
    <cellStyle name="Note 2 7 3 5 2" xfId="41455" xr:uid="{00000000-0005-0000-0000-00006FA20000}"/>
    <cellStyle name="Note 2 7 3 5 2 2" xfId="41456" xr:uid="{00000000-0005-0000-0000-000070A20000}"/>
    <cellStyle name="Note 2 7 3 5 3" xfId="41457" xr:uid="{00000000-0005-0000-0000-000071A20000}"/>
    <cellStyle name="Note 2 7 3 6" xfId="41458" xr:uid="{00000000-0005-0000-0000-000072A20000}"/>
    <cellStyle name="Note 2 7 3 6 2" xfId="41459" xr:uid="{00000000-0005-0000-0000-000073A20000}"/>
    <cellStyle name="Note 2 7 3 6 2 2" xfId="41460" xr:uid="{00000000-0005-0000-0000-000074A20000}"/>
    <cellStyle name="Note 2 7 3 6 2 2 2" xfId="41461" xr:uid="{00000000-0005-0000-0000-000075A20000}"/>
    <cellStyle name="Note 2 7 3 6 2 3" xfId="41462" xr:uid="{00000000-0005-0000-0000-000076A20000}"/>
    <cellStyle name="Note 2 7 3 6 3" xfId="41463" xr:uid="{00000000-0005-0000-0000-000077A20000}"/>
    <cellStyle name="Note 2 7 3 6 3 2" xfId="41464" xr:uid="{00000000-0005-0000-0000-000078A20000}"/>
    <cellStyle name="Note 2 7 3 6 4" xfId="41465" xr:uid="{00000000-0005-0000-0000-000079A20000}"/>
    <cellStyle name="Note 2 7 3 7" xfId="41466" xr:uid="{00000000-0005-0000-0000-00007AA20000}"/>
    <cellStyle name="Note 2 7 3 7 2" xfId="41467" xr:uid="{00000000-0005-0000-0000-00007BA20000}"/>
    <cellStyle name="Note 2 7 3 7 2 2" xfId="41468" xr:uid="{00000000-0005-0000-0000-00007CA20000}"/>
    <cellStyle name="Note 2 7 3 7 3" xfId="41469" xr:uid="{00000000-0005-0000-0000-00007DA20000}"/>
    <cellStyle name="Note 2 7 3 8" xfId="41470" xr:uid="{00000000-0005-0000-0000-00007EA20000}"/>
    <cellStyle name="Note 2 7 3 8 2" xfId="41471" xr:uid="{00000000-0005-0000-0000-00007FA20000}"/>
    <cellStyle name="Note 2 7 3 9" xfId="41472" xr:uid="{00000000-0005-0000-0000-000080A20000}"/>
    <cellStyle name="Note 2 7 4" xfId="41473" xr:uid="{00000000-0005-0000-0000-000081A20000}"/>
    <cellStyle name="Note 2 7 4 2" xfId="41474" xr:uid="{00000000-0005-0000-0000-000082A20000}"/>
    <cellStyle name="Note 2 7 4 2 2" xfId="41475" xr:uid="{00000000-0005-0000-0000-000083A20000}"/>
    <cellStyle name="Note 2 7 4 2 2 2" xfId="41476" xr:uid="{00000000-0005-0000-0000-000084A20000}"/>
    <cellStyle name="Note 2 7 4 2 2 2 2" xfId="41477" xr:uid="{00000000-0005-0000-0000-000085A20000}"/>
    <cellStyle name="Note 2 7 4 2 2 2 2 2" xfId="41478" xr:uid="{00000000-0005-0000-0000-000086A20000}"/>
    <cellStyle name="Note 2 7 4 2 2 2 3" xfId="41479" xr:uid="{00000000-0005-0000-0000-000087A20000}"/>
    <cellStyle name="Note 2 7 4 2 2 3" xfId="41480" xr:uid="{00000000-0005-0000-0000-000088A20000}"/>
    <cellStyle name="Note 2 7 4 2 2 3 2" xfId="41481" xr:uid="{00000000-0005-0000-0000-000089A20000}"/>
    <cellStyle name="Note 2 7 4 2 2 4" xfId="41482" xr:uid="{00000000-0005-0000-0000-00008AA20000}"/>
    <cellStyle name="Note 2 7 4 2 3" xfId="41483" xr:uid="{00000000-0005-0000-0000-00008BA20000}"/>
    <cellStyle name="Note 2 7 4 2 3 2" xfId="41484" xr:uid="{00000000-0005-0000-0000-00008CA20000}"/>
    <cellStyle name="Note 2 7 4 2 3 2 2" xfId="41485" xr:uid="{00000000-0005-0000-0000-00008DA20000}"/>
    <cellStyle name="Note 2 7 4 2 3 3" xfId="41486" xr:uid="{00000000-0005-0000-0000-00008EA20000}"/>
    <cellStyle name="Note 2 7 4 2 4" xfId="41487" xr:uid="{00000000-0005-0000-0000-00008FA20000}"/>
    <cellStyle name="Note 2 7 4 2 4 2" xfId="41488" xr:uid="{00000000-0005-0000-0000-000090A20000}"/>
    <cellStyle name="Note 2 7 4 2 5" xfId="41489" xr:uid="{00000000-0005-0000-0000-000091A20000}"/>
    <cellStyle name="Note 2 7 4 3" xfId="41490" xr:uid="{00000000-0005-0000-0000-000092A20000}"/>
    <cellStyle name="Note 2 7 4 3 2" xfId="41491" xr:uid="{00000000-0005-0000-0000-000093A20000}"/>
    <cellStyle name="Note 2 7 4 3 2 2" xfId="41492" xr:uid="{00000000-0005-0000-0000-000094A20000}"/>
    <cellStyle name="Note 2 7 4 3 2 2 2" xfId="41493" xr:uid="{00000000-0005-0000-0000-000095A20000}"/>
    <cellStyle name="Note 2 7 4 3 2 3" xfId="41494" xr:uid="{00000000-0005-0000-0000-000096A20000}"/>
    <cellStyle name="Note 2 7 4 3 3" xfId="41495" xr:uid="{00000000-0005-0000-0000-000097A20000}"/>
    <cellStyle name="Note 2 7 4 3 3 2" xfId="41496" xr:uid="{00000000-0005-0000-0000-000098A20000}"/>
    <cellStyle name="Note 2 7 4 3 4" xfId="41497" xr:uid="{00000000-0005-0000-0000-000099A20000}"/>
    <cellStyle name="Note 2 7 4 4" xfId="41498" xr:uid="{00000000-0005-0000-0000-00009AA20000}"/>
    <cellStyle name="Note 2 7 4 4 2" xfId="41499" xr:uid="{00000000-0005-0000-0000-00009BA20000}"/>
    <cellStyle name="Note 2 7 4 4 2 2" xfId="41500" xr:uid="{00000000-0005-0000-0000-00009CA20000}"/>
    <cellStyle name="Note 2 7 4 4 3" xfId="41501" xr:uid="{00000000-0005-0000-0000-00009DA20000}"/>
    <cellStyle name="Note 2 7 4 5" xfId="41502" xr:uid="{00000000-0005-0000-0000-00009EA20000}"/>
    <cellStyle name="Note 2 7 4 5 2" xfId="41503" xr:uid="{00000000-0005-0000-0000-00009FA20000}"/>
    <cellStyle name="Note 2 7 4 6" xfId="41504" xr:uid="{00000000-0005-0000-0000-0000A0A20000}"/>
    <cellStyle name="Note 2 7 5" xfId="41505" xr:uid="{00000000-0005-0000-0000-0000A1A20000}"/>
    <cellStyle name="Note 2 7 5 2" xfId="41506" xr:uid="{00000000-0005-0000-0000-0000A2A20000}"/>
    <cellStyle name="Note 2 7 5 2 2" xfId="41507" xr:uid="{00000000-0005-0000-0000-0000A3A20000}"/>
    <cellStyle name="Note 2 7 5 3" xfId="41508" xr:uid="{00000000-0005-0000-0000-0000A4A20000}"/>
    <cellStyle name="Note 2 7 6" xfId="41509" xr:uid="{00000000-0005-0000-0000-0000A5A20000}"/>
    <cellStyle name="Note 2 7 6 2" xfId="41510" xr:uid="{00000000-0005-0000-0000-0000A6A20000}"/>
    <cellStyle name="Note 2 7 6 2 2" xfId="41511" xr:uid="{00000000-0005-0000-0000-0000A7A20000}"/>
    <cellStyle name="Note 2 7 6 3" xfId="41512" xr:uid="{00000000-0005-0000-0000-0000A8A20000}"/>
    <cellStyle name="Note 2 7 7" xfId="41513" xr:uid="{00000000-0005-0000-0000-0000A9A20000}"/>
    <cellStyle name="Note 2 7 7 2" xfId="41514" xr:uid="{00000000-0005-0000-0000-0000AAA20000}"/>
    <cellStyle name="Note 2 7 7 2 2" xfId="41515" xr:uid="{00000000-0005-0000-0000-0000ABA20000}"/>
    <cellStyle name="Note 2 7 7 2 2 2" xfId="41516" xr:uid="{00000000-0005-0000-0000-0000ACA20000}"/>
    <cellStyle name="Note 2 7 7 2 3" xfId="41517" xr:uid="{00000000-0005-0000-0000-0000ADA20000}"/>
    <cellStyle name="Note 2 7 7 3" xfId="41518" xr:uid="{00000000-0005-0000-0000-0000AEA20000}"/>
    <cellStyle name="Note 2 7 7 3 2" xfId="41519" xr:uid="{00000000-0005-0000-0000-0000AFA20000}"/>
    <cellStyle name="Note 2 7 7 4" xfId="41520" xr:uid="{00000000-0005-0000-0000-0000B0A20000}"/>
    <cellStyle name="Note 2 7 8" xfId="41521" xr:uid="{00000000-0005-0000-0000-0000B1A20000}"/>
    <cellStyle name="Note 2 7 8 2" xfId="41522" xr:uid="{00000000-0005-0000-0000-0000B2A20000}"/>
    <cellStyle name="Note 2 7 8 2 2" xfId="41523" xr:uid="{00000000-0005-0000-0000-0000B3A20000}"/>
    <cellStyle name="Note 2 7 8 3" xfId="41524" xr:uid="{00000000-0005-0000-0000-0000B4A20000}"/>
    <cellStyle name="Note 2 7 9" xfId="41525" xr:uid="{00000000-0005-0000-0000-0000B5A20000}"/>
    <cellStyle name="Note 2 7 9 2" xfId="41526" xr:uid="{00000000-0005-0000-0000-0000B6A20000}"/>
    <cellStyle name="Note 2 8" xfId="41527" xr:uid="{00000000-0005-0000-0000-0000B7A20000}"/>
    <cellStyle name="Note 2 8 10" xfId="41528" xr:uid="{00000000-0005-0000-0000-0000B8A20000}"/>
    <cellStyle name="Note 2 8 2" xfId="41529" xr:uid="{00000000-0005-0000-0000-0000B9A20000}"/>
    <cellStyle name="Note 2 8 2 2" xfId="41530" xr:uid="{00000000-0005-0000-0000-0000BAA20000}"/>
    <cellStyle name="Note 2 8 2 2 2" xfId="41531" xr:uid="{00000000-0005-0000-0000-0000BBA20000}"/>
    <cellStyle name="Note 2 8 2 2 2 2" xfId="41532" xr:uid="{00000000-0005-0000-0000-0000BCA20000}"/>
    <cellStyle name="Note 2 8 2 2 2 2 2" xfId="41533" xr:uid="{00000000-0005-0000-0000-0000BDA20000}"/>
    <cellStyle name="Note 2 8 2 2 2 2 2 2" xfId="41534" xr:uid="{00000000-0005-0000-0000-0000BEA20000}"/>
    <cellStyle name="Note 2 8 2 2 2 2 3" xfId="41535" xr:uid="{00000000-0005-0000-0000-0000BFA20000}"/>
    <cellStyle name="Note 2 8 2 2 2 3" xfId="41536" xr:uid="{00000000-0005-0000-0000-0000C0A20000}"/>
    <cellStyle name="Note 2 8 2 2 2 3 2" xfId="41537" xr:uid="{00000000-0005-0000-0000-0000C1A20000}"/>
    <cellStyle name="Note 2 8 2 2 2 4" xfId="41538" xr:uid="{00000000-0005-0000-0000-0000C2A20000}"/>
    <cellStyle name="Note 2 8 2 2 3" xfId="41539" xr:uid="{00000000-0005-0000-0000-0000C3A20000}"/>
    <cellStyle name="Note 2 8 2 2 3 2" xfId="41540" xr:uid="{00000000-0005-0000-0000-0000C4A20000}"/>
    <cellStyle name="Note 2 8 2 2 3 2 2" xfId="41541" xr:uid="{00000000-0005-0000-0000-0000C5A20000}"/>
    <cellStyle name="Note 2 8 2 2 3 3" xfId="41542" xr:uid="{00000000-0005-0000-0000-0000C6A20000}"/>
    <cellStyle name="Note 2 8 2 2 4" xfId="41543" xr:uid="{00000000-0005-0000-0000-0000C7A20000}"/>
    <cellStyle name="Note 2 8 2 2 4 2" xfId="41544" xr:uid="{00000000-0005-0000-0000-0000C8A20000}"/>
    <cellStyle name="Note 2 8 2 2 5" xfId="41545" xr:uid="{00000000-0005-0000-0000-0000C9A20000}"/>
    <cellStyle name="Note 2 8 2 3" xfId="41546" xr:uid="{00000000-0005-0000-0000-0000CAA20000}"/>
    <cellStyle name="Note 2 8 2 3 2" xfId="41547" xr:uid="{00000000-0005-0000-0000-0000CBA20000}"/>
    <cellStyle name="Note 2 8 2 3 2 2" xfId="41548" xr:uid="{00000000-0005-0000-0000-0000CCA20000}"/>
    <cellStyle name="Note 2 8 2 3 3" xfId="41549" xr:uid="{00000000-0005-0000-0000-0000CDA20000}"/>
    <cellStyle name="Note 2 8 2 4" xfId="41550" xr:uid="{00000000-0005-0000-0000-0000CEA20000}"/>
    <cellStyle name="Note 2 8 2 4 2" xfId="41551" xr:uid="{00000000-0005-0000-0000-0000CFA20000}"/>
    <cellStyle name="Note 2 8 2 4 2 2" xfId="41552" xr:uid="{00000000-0005-0000-0000-0000D0A20000}"/>
    <cellStyle name="Note 2 8 2 4 3" xfId="41553" xr:uid="{00000000-0005-0000-0000-0000D1A20000}"/>
    <cellStyle name="Note 2 8 2 5" xfId="41554" xr:uid="{00000000-0005-0000-0000-0000D2A20000}"/>
    <cellStyle name="Note 2 8 2 5 2" xfId="41555" xr:uid="{00000000-0005-0000-0000-0000D3A20000}"/>
    <cellStyle name="Note 2 8 2 5 2 2" xfId="41556" xr:uid="{00000000-0005-0000-0000-0000D4A20000}"/>
    <cellStyle name="Note 2 8 2 5 2 2 2" xfId="41557" xr:uid="{00000000-0005-0000-0000-0000D5A20000}"/>
    <cellStyle name="Note 2 8 2 5 2 3" xfId="41558" xr:uid="{00000000-0005-0000-0000-0000D6A20000}"/>
    <cellStyle name="Note 2 8 2 5 3" xfId="41559" xr:uid="{00000000-0005-0000-0000-0000D7A20000}"/>
    <cellStyle name="Note 2 8 2 5 3 2" xfId="41560" xr:uid="{00000000-0005-0000-0000-0000D8A20000}"/>
    <cellStyle name="Note 2 8 2 5 4" xfId="41561" xr:uid="{00000000-0005-0000-0000-0000D9A20000}"/>
    <cellStyle name="Note 2 8 2 6" xfId="41562" xr:uid="{00000000-0005-0000-0000-0000DAA20000}"/>
    <cellStyle name="Note 2 8 2 6 2" xfId="41563" xr:uid="{00000000-0005-0000-0000-0000DBA20000}"/>
    <cellStyle name="Note 2 8 2 6 2 2" xfId="41564" xr:uid="{00000000-0005-0000-0000-0000DCA20000}"/>
    <cellStyle name="Note 2 8 2 6 3" xfId="41565" xr:uid="{00000000-0005-0000-0000-0000DDA20000}"/>
    <cellStyle name="Note 2 8 2 7" xfId="41566" xr:uid="{00000000-0005-0000-0000-0000DEA20000}"/>
    <cellStyle name="Note 2 8 2 7 2" xfId="41567" xr:uid="{00000000-0005-0000-0000-0000DFA20000}"/>
    <cellStyle name="Note 2 8 2 8" xfId="41568" xr:uid="{00000000-0005-0000-0000-0000E0A20000}"/>
    <cellStyle name="Note 2 8 3" xfId="41569" xr:uid="{00000000-0005-0000-0000-0000E1A20000}"/>
    <cellStyle name="Note 2 8 3 2" xfId="41570" xr:uid="{00000000-0005-0000-0000-0000E2A20000}"/>
    <cellStyle name="Note 2 8 3 2 2" xfId="41571" xr:uid="{00000000-0005-0000-0000-0000E3A20000}"/>
    <cellStyle name="Note 2 8 3 2 2 2" xfId="41572" xr:uid="{00000000-0005-0000-0000-0000E4A20000}"/>
    <cellStyle name="Note 2 8 3 2 2 2 2" xfId="41573" xr:uid="{00000000-0005-0000-0000-0000E5A20000}"/>
    <cellStyle name="Note 2 8 3 2 2 2 2 2" xfId="41574" xr:uid="{00000000-0005-0000-0000-0000E6A20000}"/>
    <cellStyle name="Note 2 8 3 2 2 2 3" xfId="41575" xr:uid="{00000000-0005-0000-0000-0000E7A20000}"/>
    <cellStyle name="Note 2 8 3 2 2 3" xfId="41576" xr:uid="{00000000-0005-0000-0000-0000E8A20000}"/>
    <cellStyle name="Note 2 8 3 2 2 3 2" xfId="41577" xr:uid="{00000000-0005-0000-0000-0000E9A20000}"/>
    <cellStyle name="Note 2 8 3 2 2 4" xfId="41578" xr:uid="{00000000-0005-0000-0000-0000EAA20000}"/>
    <cellStyle name="Note 2 8 3 2 3" xfId="41579" xr:uid="{00000000-0005-0000-0000-0000EBA20000}"/>
    <cellStyle name="Note 2 8 3 2 3 2" xfId="41580" xr:uid="{00000000-0005-0000-0000-0000ECA20000}"/>
    <cellStyle name="Note 2 8 3 2 3 2 2" xfId="41581" xr:uid="{00000000-0005-0000-0000-0000EDA20000}"/>
    <cellStyle name="Note 2 8 3 2 3 3" xfId="41582" xr:uid="{00000000-0005-0000-0000-0000EEA20000}"/>
    <cellStyle name="Note 2 8 3 2 4" xfId="41583" xr:uid="{00000000-0005-0000-0000-0000EFA20000}"/>
    <cellStyle name="Note 2 8 3 2 4 2" xfId="41584" xr:uid="{00000000-0005-0000-0000-0000F0A20000}"/>
    <cellStyle name="Note 2 8 3 2 5" xfId="41585" xr:uid="{00000000-0005-0000-0000-0000F1A20000}"/>
    <cellStyle name="Note 2 8 3 3" xfId="41586" xr:uid="{00000000-0005-0000-0000-0000F2A20000}"/>
    <cellStyle name="Note 2 8 3 3 2" xfId="41587" xr:uid="{00000000-0005-0000-0000-0000F3A20000}"/>
    <cellStyle name="Note 2 8 3 3 2 2" xfId="41588" xr:uid="{00000000-0005-0000-0000-0000F4A20000}"/>
    <cellStyle name="Note 2 8 3 3 3" xfId="41589" xr:uid="{00000000-0005-0000-0000-0000F5A20000}"/>
    <cellStyle name="Note 2 8 3 4" xfId="41590" xr:uid="{00000000-0005-0000-0000-0000F6A20000}"/>
    <cellStyle name="Note 2 8 3 4 2" xfId="41591" xr:uid="{00000000-0005-0000-0000-0000F7A20000}"/>
    <cellStyle name="Note 2 8 3 4 2 2" xfId="41592" xr:uid="{00000000-0005-0000-0000-0000F8A20000}"/>
    <cellStyle name="Note 2 8 3 4 2 2 2" xfId="41593" xr:uid="{00000000-0005-0000-0000-0000F9A20000}"/>
    <cellStyle name="Note 2 8 3 4 2 3" xfId="41594" xr:uid="{00000000-0005-0000-0000-0000FAA20000}"/>
    <cellStyle name="Note 2 8 3 4 3" xfId="41595" xr:uid="{00000000-0005-0000-0000-0000FBA20000}"/>
    <cellStyle name="Note 2 8 3 4 3 2" xfId="41596" xr:uid="{00000000-0005-0000-0000-0000FCA20000}"/>
    <cellStyle name="Note 2 8 3 4 4" xfId="41597" xr:uid="{00000000-0005-0000-0000-0000FDA20000}"/>
    <cellStyle name="Note 2 8 3 5" xfId="41598" xr:uid="{00000000-0005-0000-0000-0000FEA20000}"/>
    <cellStyle name="Note 2 8 3 5 2" xfId="41599" xr:uid="{00000000-0005-0000-0000-0000FFA20000}"/>
    <cellStyle name="Note 2 8 3 5 2 2" xfId="41600" xr:uid="{00000000-0005-0000-0000-000000A30000}"/>
    <cellStyle name="Note 2 8 3 5 3" xfId="41601" xr:uid="{00000000-0005-0000-0000-000001A30000}"/>
    <cellStyle name="Note 2 8 3 6" xfId="41602" xr:uid="{00000000-0005-0000-0000-000002A30000}"/>
    <cellStyle name="Note 2 8 3 6 2" xfId="41603" xr:uid="{00000000-0005-0000-0000-000003A30000}"/>
    <cellStyle name="Note 2 8 3 7" xfId="41604" xr:uid="{00000000-0005-0000-0000-000004A30000}"/>
    <cellStyle name="Note 2 8 4" xfId="41605" xr:uid="{00000000-0005-0000-0000-000005A30000}"/>
    <cellStyle name="Note 2 8 4 2" xfId="41606" xr:uid="{00000000-0005-0000-0000-000006A30000}"/>
    <cellStyle name="Note 2 8 4 2 2" xfId="41607" xr:uid="{00000000-0005-0000-0000-000007A30000}"/>
    <cellStyle name="Note 2 8 4 2 2 2" xfId="41608" xr:uid="{00000000-0005-0000-0000-000008A30000}"/>
    <cellStyle name="Note 2 8 4 2 2 2 2" xfId="41609" xr:uid="{00000000-0005-0000-0000-000009A30000}"/>
    <cellStyle name="Note 2 8 4 2 2 2 2 2" xfId="41610" xr:uid="{00000000-0005-0000-0000-00000AA30000}"/>
    <cellStyle name="Note 2 8 4 2 2 2 3" xfId="41611" xr:uid="{00000000-0005-0000-0000-00000BA30000}"/>
    <cellStyle name="Note 2 8 4 2 2 3" xfId="41612" xr:uid="{00000000-0005-0000-0000-00000CA30000}"/>
    <cellStyle name="Note 2 8 4 2 2 3 2" xfId="41613" xr:uid="{00000000-0005-0000-0000-00000DA30000}"/>
    <cellStyle name="Note 2 8 4 2 2 4" xfId="41614" xr:uid="{00000000-0005-0000-0000-00000EA30000}"/>
    <cellStyle name="Note 2 8 4 2 3" xfId="41615" xr:uid="{00000000-0005-0000-0000-00000FA30000}"/>
    <cellStyle name="Note 2 8 4 2 3 2" xfId="41616" xr:uid="{00000000-0005-0000-0000-000010A30000}"/>
    <cellStyle name="Note 2 8 4 2 3 2 2" xfId="41617" xr:uid="{00000000-0005-0000-0000-000011A30000}"/>
    <cellStyle name="Note 2 8 4 2 3 3" xfId="41618" xr:uid="{00000000-0005-0000-0000-000012A30000}"/>
    <cellStyle name="Note 2 8 4 2 4" xfId="41619" xr:uid="{00000000-0005-0000-0000-000013A30000}"/>
    <cellStyle name="Note 2 8 4 2 4 2" xfId="41620" xr:uid="{00000000-0005-0000-0000-000014A30000}"/>
    <cellStyle name="Note 2 8 4 2 5" xfId="41621" xr:uid="{00000000-0005-0000-0000-000015A30000}"/>
    <cellStyle name="Note 2 8 4 3" xfId="41622" xr:uid="{00000000-0005-0000-0000-000016A30000}"/>
    <cellStyle name="Note 2 8 4 3 2" xfId="41623" xr:uid="{00000000-0005-0000-0000-000017A30000}"/>
    <cellStyle name="Note 2 8 4 3 2 2" xfId="41624" xr:uid="{00000000-0005-0000-0000-000018A30000}"/>
    <cellStyle name="Note 2 8 4 3 2 2 2" xfId="41625" xr:uid="{00000000-0005-0000-0000-000019A30000}"/>
    <cellStyle name="Note 2 8 4 3 2 3" xfId="41626" xr:uid="{00000000-0005-0000-0000-00001AA30000}"/>
    <cellStyle name="Note 2 8 4 3 3" xfId="41627" xr:uid="{00000000-0005-0000-0000-00001BA30000}"/>
    <cellStyle name="Note 2 8 4 3 3 2" xfId="41628" xr:uid="{00000000-0005-0000-0000-00001CA30000}"/>
    <cellStyle name="Note 2 8 4 3 4" xfId="41629" xr:uid="{00000000-0005-0000-0000-00001DA30000}"/>
    <cellStyle name="Note 2 8 4 4" xfId="41630" xr:uid="{00000000-0005-0000-0000-00001EA30000}"/>
    <cellStyle name="Note 2 8 4 4 2" xfId="41631" xr:uid="{00000000-0005-0000-0000-00001FA30000}"/>
    <cellStyle name="Note 2 8 4 4 2 2" xfId="41632" xr:uid="{00000000-0005-0000-0000-000020A30000}"/>
    <cellStyle name="Note 2 8 4 4 3" xfId="41633" xr:uid="{00000000-0005-0000-0000-000021A30000}"/>
    <cellStyle name="Note 2 8 4 5" xfId="41634" xr:uid="{00000000-0005-0000-0000-000022A30000}"/>
    <cellStyle name="Note 2 8 4 5 2" xfId="41635" xr:uid="{00000000-0005-0000-0000-000023A30000}"/>
    <cellStyle name="Note 2 8 4 6" xfId="41636" xr:uid="{00000000-0005-0000-0000-000024A30000}"/>
    <cellStyle name="Note 2 8 5" xfId="41637" xr:uid="{00000000-0005-0000-0000-000025A30000}"/>
    <cellStyle name="Note 2 8 5 2" xfId="41638" xr:uid="{00000000-0005-0000-0000-000026A30000}"/>
    <cellStyle name="Note 2 8 5 2 2" xfId="41639" xr:uid="{00000000-0005-0000-0000-000027A30000}"/>
    <cellStyle name="Note 2 8 5 3" xfId="41640" xr:uid="{00000000-0005-0000-0000-000028A30000}"/>
    <cellStyle name="Note 2 8 6" xfId="41641" xr:uid="{00000000-0005-0000-0000-000029A30000}"/>
    <cellStyle name="Note 2 8 6 2" xfId="41642" xr:uid="{00000000-0005-0000-0000-00002AA30000}"/>
    <cellStyle name="Note 2 8 6 2 2" xfId="41643" xr:uid="{00000000-0005-0000-0000-00002BA30000}"/>
    <cellStyle name="Note 2 8 6 3" xfId="41644" xr:uid="{00000000-0005-0000-0000-00002CA30000}"/>
    <cellStyle name="Note 2 8 7" xfId="41645" xr:uid="{00000000-0005-0000-0000-00002DA30000}"/>
    <cellStyle name="Note 2 8 7 2" xfId="41646" xr:uid="{00000000-0005-0000-0000-00002EA30000}"/>
    <cellStyle name="Note 2 8 7 2 2" xfId="41647" xr:uid="{00000000-0005-0000-0000-00002FA30000}"/>
    <cellStyle name="Note 2 8 7 2 2 2" xfId="41648" xr:uid="{00000000-0005-0000-0000-000030A30000}"/>
    <cellStyle name="Note 2 8 7 2 3" xfId="41649" xr:uid="{00000000-0005-0000-0000-000031A30000}"/>
    <cellStyle name="Note 2 8 7 3" xfId="41650" xr:uid="{00000000-0005-0000-0000-000032A30000}"/>
    <cellStyle name="Note 2 8 7 3 2" xfId="41651" xr:uid="{00000000-0005-0000-0000-000033A30000}"/>
    <cellStyle name="Note 2 8 7 4" xfId="41652" xr:uid="{00000000-0005-0000-0000-000034A30000}"/>
    <cellStyle name="Note 2 8 8" xfId="41653" xr:uid="{00000000-0005-0000-0000-000035A30000}"/>
    <cellStyle name="Note 2 8 8 2" xfId="41654" xr:uid="{00000000-0005-0000-0000-000036A30000}"/>
    <cellStyle name="Note 2 8 8 2 2" xfId="41655" xr:uid="{00000000-0005-0000-0000-000037A30000}"/>
    <cellStyle name="Note 2 8 8 3" xfId="41656" xr:uid="{00000000-0005-0000-0000-000038A30000}"/>
    <cellStyle name="Note 2 8 9" xfId="41657" xr:uid="{00000000-0005-0000-0000-000039A30000}"/>
    <cellStyle name="Note 2 8 9 2" xfId="41658" xr:uid="{00000000-0005-0000-0000-00003AA30000}"/>
    <cellStyle name="Note 2 9" xfId="41659" xr:uid="{00000000-0005-0000-0000-00003BA30000}"/>
    <cellStyle name="Note 2 9 2" xfId="41660" xr:uid="{00000000-0005-0000-0000-00003CA30000}"/>
    <cellStyle name="Note 2 9 2 2" xfId="41661" xr:uid="{00000000-0005-0000-0000-00003DA30000}"/>
    <cellStyle name="Note 2 9 2 2 2" xfId="41662" xr:uid="{00000000-0005-0000-0000-00003EA30000}"/>
    <cellStyle name="Note 2 9 2 2 2 2" xfId="41663" xr:uid="{00000000-0005-0000-0000-00003FA30000}"/>
    <cellStyle name="Note 2 9 2 2 2 2 2" xfId="41664" xr:uid="{00000000-0005-0000-0000-000040A30000}"/>
    <cellStyle name="Note 2 9 2 2 2 3" xfId="41665" xr:uid="{00000000-0005-0000-0000-000041A30000}"/>
    <cellStyle name="Note 2 9 2 2 3" xfId="41666" xr:uid="{00000000-0005-0000-0000-000042A30000}"/>
    <cellStyle name="Note 2 9 2 2 3 2" xfId="41667" xr:uid="{00000000-0005-0000-0000-000043A30000}"/>
    <cellStyle name="Note 2 9 2 2 4" xfId="41668" xr:uid="{00000000-0005-0000-0000-000044A30000}"/>
    <cellStyle name="Note 2 9 2 3" xfId="41669" xr:uid="{00000000-0005-0000-0000-000045A30000}"/>
    <cellStyle name="Note 2 9 2 3 2" xfId="41670" xr:uid="{00000000-0005-0000-0000-000046A30000}"/>
    <cellStyle name="Note 2 9 2 3 2 2" xfId="41671" xr:uid="{00000000-0005-0000-0000-000047A30000}"/>
    <cellStyle name="Note 2 9 2 3 3" xfId="41672" xr:uid="{00000000-0005-0000-0000-000048A30000}"/>
    <cellStyle name="Note 2 9 2 4" xfId="41673" xr:uid="{00000000-0005-0000-0000-000049A30000}"/>
    <cellStyle name="Note 2 9 2 4 2" xfId="41674" xr:uid="{00000000-0005-0000-0000-00004AA30000}"/>
    <cellStyle name="Note 2 9 2 5" xfId="41675" xr:uid="{00000000-0005-0000-0000-00004BA30000}"/>
    <cellStyle name="Note 2 9 3" xfId="41676" xr:uid="{00000000-0005-0000-0000-00004CA30000}"/>
    <cellStyle name="Note 2 9 3 2" xfId="41677" xr:uid="{00000000-0005-0000-0000-00004DA30000}"/>
    <cellStyle name="Note 2 9 3 2 2" xfId="41678" xr:uid="{00000000-0005-0000-0000-00004EA30000}"/>
    <cellStyle name="Note 2 9 3 3" xfId="41679" xr:uid="{00000000-0005-0000-0000-00004FA30000}"/>
    <cellStyle name="Note 2 9 4" xfId="41680" xr:uid="{00000000-0005-0000-0000-000050A30000}"/>
    <cellStyle name="Note 2 9 4 2" xfId="41681" xr:uid="{00000000-0005-0000-0000-000051A30000}"/>
    <cellStyle name="Note 2 9 4 2 2" xfId="41682" xr:uid="{00000000-0005-0000-0000-000052A30000}"/>
    <cellStyle name="Note 2 9 4 3" xfId="41683" xr:uid="{00000000-0005-0000-0000-000053A30000}"/>
    <cellStyle name="Note 2 9 5" xfId="41684" xr:uid="{00000000-0005-0000-0000-000054A30000}"/>
    <cellStyle name="Note 2 9 5 2" xfId="41685" xr:uid="{00000000-0005-0000-0000-000055A30000}"/>
    <cellStyle name="Note 2 9 5 2 2" xfId="41686" xr:uid="{00000000-0005-0000-0000-000056A30000}"/>
    <cellStyle name="Note 2 9 5 2 2 2" xfId="41687" xr:uid="{00000000-0005-0000-0000-000057A30000}"/>
    <cellStyle name="Note 2 9 5 2 3" xfId="41688" xr:uid="{00000000-0005-0000-0000-000058A30000}"/>
    <cellStyle name="Note 2 9 5 3" xfId="41689" xr:uid="{00000000-0005-0000-0000-000059A30000}"/>
    <cellStyle name="Note 2 9 5 3 2" xfId="41690" xr:uid="{00000000-0005-0000-0000-00005AA30000}"/>
    <cellStyle name="Note 2 9 5 4" xfId="41691" xr:uid="{00000000-0005-0000-0000-00005BA30000}"/>
    <cellStyle name="Note 2 9 6" xfId="41692" xr:uid="{00000000-0005-0000-0000-00005CA30000}"/>
    <cellStyle name="Note 2 9 6 2" xfId="41693" xr:uid="{00000000-0005-0000-0000-00005DA30000}"/>
    <cellStyle name="Note 2 9 6 2 2" xfId="41694" xr:uid="{00000000-0005-0000-0000-00005EA30000}"/>
    <cellStyle name="Note 2 9 6 3" xfId="41695" xr:uid="{00000000-0005-0000-0000-00005FA30000}"/>
    <cellStyle name="Note 2 9 7" xfId="41696" xr:uid="{00000000-0005-0000-0000-000060A30000}"/>
    <cellStyle name="Note 2 9 7 2" xfId="41697" xr:uid="{00000000-0005-0000-0000-000061A30000}"/>
    <cellStyle name="Note 2 9 8" xfId="41698" xr:uid="{00000000-0005-0000-0000-000062A30000}"/>
    <cellStyle name="Note 3" xfId="41699" xr:uid="{00000000-0005-0000-0000-000063A30000}"/>
    <cellStyle name="Note 3 10" xfId="41700" xr:uid="{00000000-0005-0000-0000-000064A30000}"/>
    <cellStyle name="Note 3 10 2" xfId="41701" xr:uid="{00000000-0005-0000-0000-000065A30000}"/>
    <cellStyle name="Note 3 10 2 2" xfId="41702" xr:uid="{00000000-0005-0000-0000-000066A30000}"/>
    <cellStyle name="Note 3 10 3" xfId="41703" xr:uid="{00000000-0005-0000-0000-000067A30000}"/>
    <cellStyle name="Note 3 11" xfId="41704" xr:uid="{00000000-0005-0000-0000-000068A30000}"/>
    <cellStyle name="Note 3 11 2" xfId="41705" xr:uid="{00000000-0005-0000-0000-000069A30000}"/>
    <cellStyle name="Note 3 12" xfId="41706" xr:uid="{00000000-0005-0000-0000-00006AA30000}"/>
    <cellStyle name="Note 3 13" xfId="41707" xr:uid="{00000000-0005-0000-0000-00006BA30000}"/>
    <cellStyle name="Note 3 2" xfId="41708" xr:uid="{00000000-0005-0000-0000-00006CA30000}"/>
    <cellStyle name="Note 3 2 2" xfId="41709" xr:uid="{00000000-0005-0000-0000-00006DA30000}"/>
    <cellStyle name="Note 3 2 2 2" xfId="41710" xr:uid="{00000000-0005-0000-0000-00006EA30000}"/>
    <cellStyle name="Note 3 2 2 2 2" xfId="41711" xr:uid="{00000000-0005-0000-0000-00006FA30000}"/>
    <cellStyle name="Note 3 2 2 2 2 2" xfId="41712" xr:uid="{00000000-0005-0000-0000-000070A30000}"/>
    <cellStyle name="Note 3 2 2 2 3" xfId="41713" xr:uid="{00000000-0005-0000-0000-000071A30000}"/>
    <cellStyle name="Note 3 2 2 3" xfId="41714" xr:uid="{00000000-0005-0000-0000-000072A30000}"/>
    <cellStyle name="Note 3 2 2 3 2" xfId="41715" xr:uid="{00000000-0005-0000-0000-000073A30000}"/>
    <cellStyle name="Note 3 2 2 3 2 2" xfId="41716" xr:uid="{00000000-0005-0000-0000-000074A30000}"/>
    <cellStyle name="Note 3 2 2 3 3" xfId="41717" xr:uid="{00000000-0005-0000-0000-000075A30000}"/>
    <cellStyle name="Note 3 2 2 4" xfId="41718" xr:uid="{00000000-0005-0000-0000-000076A30000}"/>
    <cellStyle name="Note 3 2 2 4 2" xfId="41719" xr:uid="{00000000-0005-0000-0000-000077A30000}"/>
    <cellStyle name="Note 3 2 2 4 2 2" xfId="41720" xr:uid="{00000000-0005-0000-0000-000078A30000}"/>
    <cellStyle name="Note 3 2 2 4 3" xfId="41721" xr:uid="{00000000-0005-0000-0000-000079A30000}"/>
    <cellStyle name="Note 3 2 2 5" xfId="41722" xr:uid="{00000000-0005-0000-0000-00007AA30000}"/>
    <cellStyle name="Note 3 2 2 5 2" xfId="41723" xr:uid="{00000000-0005-0000-0000-00007BA30000}"/>
    <cellStyle name="Note 3 2 2 6" xfId="41724" xr:uid="{00000000-0005-0000-0000-00007CA30000}"/>
    <cellStyle name="Note 3 2 3" xfId="41725" xr:uid="{00000000-0005-0000-0000-00007DA30000}"/>
    <cellStyle name="Note 3 2 3 2" xfId="41726" xr:uid="{00000000-0005-0000-0000-00007EA30000}"/>
    <cellStyle name="Note 3 2 3 2 2" xfId="41727" xr:uid="{00000000-0005-0000-0000-00007FA30000}"/>
    <cellStyle name="Note 3 2 3 2 2 2" xfId="41728" xr:uid="{00000000-0005-0000-0000-000080A30000}"/>
    <cellStyle name="Note 3 2 3 2 2 2 2" xfId="41729" xr:uid="{00000000-0005-0000-0000-000081A30000}"/>
    <cellStyle name="Note 3 2 3 2 2 3" xfId="41730" xr:uid="{00000000-0005-0000-0000-000082A30000}"/>
    <cellStyle name="Note 3 2 3 2 3" xfId="41731" xr:uid="{00000000-0005-0000-0000-000083A30000}"/>
    <cellStyle name="Note 3 2 3 2 3 2" xfId="41732" xr:uid="{00000000-0005-0000-0000-000084A30000}"/>
    <cellStyle name="Note 3 2 3 2 3 2 2" xfId="41733" xr:uid="{00000000-0005-0000-0000-000085A30000}"/>
    <cellStyle name="Note 3 2 3 2 3 3" xfId="41734" xr:uid="{00000000-0005-0000-0000-000086A30000}"/>
    <cellStyle name="Note 3 2 3 2 4" xfId="41735" xr:uid="{00000000-0005-0000-0000-000087A30000}"/>
    <cellStyle name="Note 3 2 3 2 4 2" xfId="41736" xr:uid="{00000000-0005-0000-0000-000088A30000}"/>
    <cellStyle name="Note 3 2 3 2 5" xfId="41737" xr:uid="{00000000-0005-0000-0000-000089A30000}"/>
    <cellStyle name="Note 3 2 3 3" xfId="41738" xr:uid="{00000000-0005-0000-0000-00008AA30000}"/>
    <cellStyle name="Note 3 2 3 3 2" xfId="41739" xr:uid="{00000000-0005-0000-0000-00008BA30000}"/>
    <cellStyle name="Note 3 2 3 3 2 2" xfId="41740" xr:uid="{00000000-0005-0000-0000-00008CA30000}"/>
    <cellStyle name="Note 3 2 3 3 2 2 2" xfId="41741" xr:uid="{00000000-0005-0000-0000-00008DA30000}"/>
    <cellStyle name="Note 3 2 3 3 2 3" xfId="41742" xr:uid="{00000000-0005-0000-0000-00008EA30000}"/>
    <cellStyle name="Note 3 2 3 3 3" xfId="41743" xr:uid="{00000000-0005-0000-0000-00008FA30000}"/>
    <cellStyle name="Note 3 2 3 3 3 2" xfId="41744" xr:uid="{00000000-0005-0000-0000-000090A30000}"/>
    <cellStyle name="Note 3 2 3 3 4" xfId="41745" xr:uid="{00000000-0005-0000-0000-000091A30000}"/>
    <cellStyle name="Note 3 2 3 4" xfId="41746" xr:uid="{00000000-0005-0000-0000-000092A30000}"/>
    <cellStyle name="Note 3 2 3 4 2" xfId="41747" xr:uid="{00000000-0005-0000-0000-000093A30000}"/>
    <cellStyle name="Note 3 2 3 4 2 2" xfId="41748" xr:uid="{00000000-0005-0000-0000-000094A30000}"/>
    <cellStyle name="Note 3 2 3 4 3" xfId="41749" xr:uid="{00000000-0005-0000-0000-000095A30000}"/>
    <cellStyle name="Note 3 2 3 5" xfId="41750" xr:uid="{00000000-0005-0000-0000-000096A30000}"/>
    <cellStyle name="Note 3 2 3 5 2" xfId="41751" xr:uid="{00000000-0005-0000-0000-000097A30000}"/>
    <cellStyle name="Note 3 2 3 5 2 2" xfId="41752" xr:uid="{00000000-0005-0000-0000-000098A30000}"/>
    <cellStyle name="Note 3 2 3 5 3" xfId="41753" xr:uid="{00000000-0005-0000-0000-000099A30000}"/>
    <cellStyle name="Note 3 2 3 6" xfId="41754" xr:uid="{00000000-0005-0000-0000-00009AA30000}"/>
    <cellStyle name="Note 3 2 3 6 2" xfId="41755" xr:uid="{00000000-0005-0000-0000-00009BA30000}"/>
    <cellStyle name="Note 3 2 3 7" xfId="41756" xr:uid="{00000000-0005-0000-0000-00009CA30000}"/>
    <cellStyle name="Note 3 2 4" xfId="41757" xr:uid="{00000000-0005-0000-0000-00009DA30000}"/>
    <cellStyle name="Note 3 2 4 2" xfId="41758" xr:uid="{00000000-0005-0000-0000-00009EA30000}"/>
    <cellStyle name="Note 3 2 4 2 2" xfId="41759" xr:uid="{00000000-0005-0000-0000-00009FA30000}"/>
    <cellStyle name="Note 3 2 4 2 2 2" xfId="41760" xr:uid="{00000000-0005-0000-0000-0000A0A30000}"/>
    <cellStyle name="Note 3 2 4 2 3" xfId="41761" xr:uid="{00000000-0005-0000-0000-0000A1A30000}"/>
    <cellStyle name="Note 3 2 4 3" xfId="41762" xr:uid="{00000000-0005-0000-0000-0000A2A30000}"/>
    <cellStyle name="Note 3 2 4 3 2" xfId="41763" xr:uid="{00000000-0005-0000-0000-0000A3A30000}"/>
    <cellStyle name="Note 3 2 4 4" xfId="41764" xr:uid="{00000000-0005-0000-0000-0000A4A30000}"/>
    <cellStyle name="Note 3 2 5" xfId="41765" xr:uid="{00000000-0005-0000-0000-0000A5A30000}"/>
    <cellStyle name="Note 3 2 5 2" xfId="41766" xr:uid="{00000000-0005-0000-0000-0000A6A30000}"/>
    <cellStyle name="Note 3 2 5 2 2" xfId="41767" xr:uid="{00000000-0005-0000-0000-0000A7A30000}"/>
    <cellStyle name="Note 3 2 5 3" xfId="41768" xr:uid="{00000000-0005-0000-0000-0000A8A30000}"/>
    <cellStyle name="Note 3 2 6" xfId="41769" xr:uid="{00000000-0005-0000-0000-0000A9A30000}"/>
    <cellStyle name="Note 3 2 6 2" xfId="41770" xr:uid="{00000000-0005-0000-0000-0000AAA30000}"/>
    <cellStyle name="Note 3 2 6 2 2" xfId="41771" xr:uid="{00000000-0005-0000-0000-0000ABA30000}"/>
    <cellStyle name="Note 3 2 6 3" xfId="41772" xr:uid="{00000000-0005-0000-0000-0000ACA30000}"/>
    <cellStyle name="Note 3 2 7" xfId="41773" xr:uid="{00000000-0005-0000-0000-0000ADA30000}"/>
    <cellStyle name="Note 3 2 7 2" xfId="41774" xr:uid="{00000000-0005-0000-0000-0000AEA30000}"/>
    <cellStyle name="Note 3 2 8" xfId="41775" xr:uid="{00000000-0005-0000-0000-0000AFA30000}"/>
    <cellStyle name="Note 3 3" xfId="41776" xr:uid="{00000000-0005-0000-0000-0000B0A30000}"/>
    <cellStyle name="Note 3 3 2" xfId="41777" xr:uid="{00000000-0005-0000-0000-0000B1A30000}"/>
    <cellStyle name="Note 3 3 2 2" xfId="41778" xr:uid="{00000000-0005-0000-0000-0000B2A30000}"/>
    <cellStyle name="Note 3 3 2 2 2" xfId="41779" xr:uid="{00000000-0005-0000-0000-0000B3A30000}"/>
    <cellStyle name="Note 3 3 2 3" xfId="41780" xr:uid="{00000000-0005-0000-0000-0000B4A30000}"/>
    <cellStyle name="Note 3 3 2 3 2" xfId="41781" xr:uid="{00000000-0005-0000-0000-0000B5A30000}"/>
    <cellStyle name="Note 3 3 2 3 2 2" xfId="41782" xr:uid="{00000000-0005-0000-0000-0000B6A30000}"/>
    <cellStyle name="Note 3 3 2 3 3" xfId="41783" xr:uid="{00000000-0005-0000-0000-0000B7A30000}"/>
    <cellStyle name="Note 3 3 2 4" xfId="41784" xr:uid="{00000000-0005-0000-0000-0000B8A30000}"/>
    <cellStyle name="Note 3 3 2 4 2" xfId="41785" xr:uid="{00000000-0005-0000-0000-0000B9A30000}"/>
    <cellStyle name="Note 3 3 2 4 2 2" xfId="41786" xr:uid="{00000000-0005-0000-0000-0000BAA30000}"/>
    <cellStyle name="Note 3 3 2 4 3" xfId="41787" xr:uid="{00000000-0005-0000-0000-0000BBA30000}"/>
    <cellStyle name="Note 3 3 2 5" xfId="41788" xr:uid="{00000000-0005-0000-0000-0000BCA30000}"/>
    <cellStyle name="Note 3 3 3" xfId="41789" xr:uid="{00000000-0005-0000-0000-0000BDA30000}"/>
    <cellStyle name="Note 3 3 3 2" xfId="41790" xr:uid="{00000000-0005-0000-0000-0000BEA30000}"/>
    <cellStyle name="Note 3 3 3 2 2" xfId="41791" xr:uid="{00000000-0005-0000-0000-0000BFA30000}"/>
    <cellStyle name="Note 3 3 3 2 2 2" xfId="41792" xr:uid="{00000000-0005-0000-0000-0000C0A30000}"/>
    <cellStyle name="Note 3 3 3 2 3" xfId="41793" xr:uid="{00000000-0005-0000-0000-0000C1A30000}"/>
    <cellStyle name="Note 3 3 3 2 3 2" xfId="41794" xr:uid="{00000000-0005-0000-0000-0000C2A30000}"/>
    <cellStyle name="Note 3 3 3 2 3 2 2" xfId="41795" xr:uid="{00000000-0005-0000-0000-0000C3A30000}"/>
    <cellStyle name="Note 3 3 3 2 3 3" xfId="41796" xr:uid="{00000000-0005-0000-0000-0000C4A30000}"/>
    <cellStyle name="Note 3 3 3 2 4" xfId="41797" xr:uid="{00000000-0005-0000-0000-0000C5A30000}"/>
    <cellStyle name="Note 3 3 3 3" xfId="41798" xr:uid="{00000000-0005-0000-0000-0000C6A30000}"/>
    <cellStyle name="Note 3 3 3 3 2" xfId="41799" xr:uid="{00000000-0005-0000-0000-0000C7A30000}"/>
    <cellStyle name="Note 3 3 3 3 2 2" xfId="41800" xr:uid="{00000000-0005-0000-0000-0000C8A30000}"/>
    <cellStyle name="Note 3 3 3 3 3" xfId="41801" xr:uid="{00000000-0005-0000-0000-0000C9A30000}"/>
    <cellStyle name="Note 3 3 3 4" xfId="41802" xr:uid="{00000000-0005-0000-0000-0000CAA30000}"/>
    <cellStyle name="Note 3 3 3 4 2" xfId="41803" xr:uid="{00000000-0005-0000-0000-0000CBA30000}"/>
    <cellStyle name="Note 3 3 3 4 2 2" xfId="41804" xr:uid="{00000000-0005-0000-0000-0000CCA30000}"/>
    <cellStyle name="Note 3 3 3 4 3" xfId="41805" xr:uid="{00000000-0005-0000-0000-0000CDA30000}"/>
    <cellStyle name="Note 3 3 3 5" xfId="41806" xr:uid="{00000000-0005-0000-0000-0000CEA30000}"/>
    <cellStyle name="Note 3 3 3 5 2" xfId="41807" xr:uid="{00000000-0005-0000-0000-0000CFA30000}"/>
    <cellStyle name="Note 3 3 3 5 2 2" xfId="41808" xr:uid="{00000000-0005-0000-0000-0000D0A30000}"/>
    <cellStyle name="Note 3 3 3 5 3" xfId="41809" xr:uid="{00000000-0005-0000-0000-0000D1A30000}"/>
    <cellStyle name="Note 3 3 3 6" xfId="41810" xr:uid="{00000000-0005-0000-0000-0000D2A30000}"/>
    <cellStyle name="Note 3 3 4" xfId="41811" xr:uid="{00000000-0005-0000-0000-0000D3A30000}"/>
    <cellStyle name="Note 3 3 4 2" xfId="41812" xr:uid="{00000000-0005-0000-0000-0000D4A30000}"/>
    <cellStyle name="Note 3 3 4 2 2" xfId="41813" xr:uid="{00000000-0005-0000-0000-0000D5A30000}"/>
    <cellStyle name="Note 3 3 4 3" xfId="41814" xr:uid="{00000000-0005-0000-0000-0000D6A30000}"/>
    <cellStyle name="Note 3 3 5" xfId="41815" xr:uid="{00000000-0005-0000-0000-0000D7A30000}"/>
    <cellStyle name="Note 3 3 5 2" xfId="41816" xr:uid="{00000000-0005-0000-0000-0000D8A30000}"/>
    <cellStyle name="Note 3 3 5 2 2" xfId="41817" xr:uid="{00000000-0005-0000-0000-0000D9A30000}"/>
    <cellStyle name="Note 3 3 5 3" xfId="41818" xr:uid="{00000000-0005-0000-0000-0000DAA30000}"/>
    <cellStyle name="Note 3 3 6" xfId="41819" xr:uid="{00000000-0005-0000-0000-0000DBA30000}"/>
    <cellStyle name="Note 3 3 6 2" xfId="41820" xr:uid="{00000000-0005-0000-0000-0000DCA30000}"/>
    <cellStyle name="Note 3 3 6 2 2" xfId="41821" xr:uid="{00000000-0005-0000-0000-0000DDA30000}"/>
    <cellStyle name="Note 3 3 6 3" xfId="41822" xr:uid="{00000000-0005-0000-0000-0000DEA30000}"/>
    <cellStyle name="Note 3 3 7" xfId="41823" xr:uid="{00000000-0005-0000-0000-0000DFA30000}"/>
    <cellStyle name="Note 3 4" xfId="41824" xr:uid="{00000000-0005-0000-0000-0000E0A30000}"/>
    <cellStyle name="Note 3 4 2" xfId="41825" xr:uid="{00000000-0005-0000-0000-0000E1A30000}"/>
    <cellStyle name="Note 3 4 2 2" xfId="41826" xr:uid="{00000000-0005-0000-0000-0000E2A30000}"/>
    <cellStyle name="Note 3 4 2 2 2" xfId="41827" xr:uid="{00000000-0005-0000-0000-0000E3A30000}"/>
    <cellStyle name="Note 3 4 2 2 2 2" xfId="41828" xr:uid="{00000000-0005-0000-0000-0000E4A30000}"/>
    <cellStyle name="Note 3 4 2 2 2 2 2" xfId="41829" xr:uid="{00000000-0005-0000-0000-0000E5A30000}"/>
    <cellStyle name="Note 3 4 2 2 2 3" xfId="41830" xr:uid="{00000000-0005-0000-0000-0000E6A30000}"/>
    <cellStyle name="Note 3 4 2 2 3" xfId="41831" xr:uid="{00000000-0005-0000-0000-0000E7A30000}"/>
    <cellStyle name="Note 3 4 2 2 3 2" xfId="41832" xr:uid="{00000000-0005-0000-0000-0000E8A30000}"/>
    <cellStyle name="Note 3 4 2 2 4" xfId="41833" xr:uid="{00000000-0005-0000-0000-0000E9A30000}"/>
    <cellStyle name="Note 3 4 2 3" xfId="41834" xr:uid="{00000000-0005-0000-0000-0000EAA30000}"/>
    <cellStyle name="Note 3 4 2 3 2" xfId="41835" xr:uid="{00000000-0005-0000-0000-0000EBA30000}"/>
    <cellStyle name="Note 3 4 2 3 2 2" xfId="41836" xr:uid="{00000000-0005-0000-0000-0000ECA30000}"/>
    <cellStyle name="Note 3 4 2 3 3" xfId="41837" xr:uid="{00000000-0005-0000-0000-0000EDA30000}"/>
    <cellStyle name="Note 3 4 2 4" xfId="41838" xr:uid="{00000000-0005-0000-0000-0000EEA30000}"/>
    <cellStyle name="Note 3 4 2 4 2" xfId="41839" xr:uid="{00000000-0005-0000-0000-0000EFA30000}"/>
    <cellStyle name="Note 3 4 2 5" xfId="41840" xr:uid="{00000000-0005-0000-0000-0000F0A30000}"/>
    <cellStyle name="Note 3 4 3" xfId="41841" xr:uid="{00000000-0005-0000-0000-0000F1A30000}"/>
    <cellStyle name="Note 3 4 3 2" xfId="41842" xr:uid="{00000000-0005-0000-0000-0000F2A30000}"/>
    <cellStyle name="Note 3 4 3 2 2" xfId="41843" xr:uid="{00000000-0005-0000-0000-0000F3A30000}"/>
    <cellStyle name="Note 3 4 3 3" xfId="41844" xr:uid="{00000000-0005-0000-0000-0000F4A30000}"/>
    <cellStyle name="Note 3 4 4" xfId="41845" xr:uid="{00000000-0005-0000-0000-0000F5A30000}"/>
    <cellStyle name="Note 3 4 4 2" xfId="41846" xr:uid="{00000000-0005-0000-0000-0000F6A30000}"/>
    <cellStyle name="Note 3 4 4 2 2" xfId="41847" xr:uid="{00000000-0005-0000-0000-0000F7A30000}"/>
    <cellStyle name="Note 3 4 4 3" xfId="41848" xr:uid="{00000000-0005-0000-0000-0000F8A30000}"/>
    <cellStyle name="Note 3 4 5" xfId="41849" xr:uid="{00000000-0005-0000-0000-0000F9A30000}"/>
    <cellStyle name="Note 3 4 5 2" xfId="41850" xr:uid="{00000000-0005-0000-0000-0000FAA30000}"/>
    <cellStyle name="Note 3 4 5 2 2" xfId="41851" xr:uid="{00000000-0005-0000-0000-0000FBA30000}"/>
    <cellStyle name="Note 3 4 5 2 2 2" xfId="41852" xr:uid="{00000000-0005-0000-0000-0000FCA30000}"/>
    <cellStyle name="Note 3 4 5 2 3" xfId="41853" xr:uid="{00000000-0005-0000-0000-0000FDA30000}"/>
    <cellStyle name="Note 3 4 5 3" xfId="41854" xr:uid="{00000000-0005-0000-0000-0000FEA30000}"/>
    <cellStyle name="Note 3 4 5 3 2" xfId="41855" xr:uid="{00000000-0005-0000-0000-0000FFA30000}"/>
    <cellStyle name="Note 3 4 5 4" xfId="41856" xr:uid="{00000000-0005-0000-0000-000000A40000}"/>
    <cellStyle name="Note 3 4 6" xfId="41857" xr:uid="{00000000-0005-0000-0000-000001A40000}"/>
    <cellStyle name="Note 3 4 6 2" xfId="41858" xr:uid="{00000000-0005-0000-0000-000002A40000}"/>
    <cellStyle name="Note 3 4 6 2 2" xfId="41859" xr:uid="{00000000-0005-0000-0000-000003A40000}"/>
    <cellStyle name="Note 3 4 6 3" xfId="41860" xr:uid="{00000000-0005-0000-0000-000004A40000}"/>
    <cellStyle name="Note 3 4 7" xfId="41861" xr:uid="{00000000-0005-0000-0000-000005A40000}"/>
    <cellStyle name="Note 3 4 7 2" xfId="41862" xr:uid="{00000000-0005-0000-0000-000006A40000}"/>
    <cellStyle name="Note 3 4 8" xfId="41863" xr:uid="{00000000-0005-0000-0000-000007A40000}"/>
    <cellStyle name="Note 3 5" xfId="41864" xr:uid="{00000000-0005-0000-0000-000008A40000}"/>
    <cellStyle name="Note 3 5 2" xfId="41865" xr:uid="{00000000-0005-0000-0000-000009A40000}"/>
    <cellStyle name="Note 3 5 2 2" xfId="41866" xr:uid="{00000000-0005-0000-0000-00000AA40000}"/>
    <cellStyle name="Note 3 5 2 2 2" xfId="41867" xr:uid="{00000000-0005-0000-0000-00000BA40000}"/>
    <cellStyle name="Note 3 5 2 3" xfId="41868" xr:uid="{00000000-0005-0000-0000-00000CA40000}"/>
    <cellStyle name="Note 3 5 3" xfId="41869" xr:uid="{00000000-0005-0000-0000-00000DA40000}"/>
    <cellStyle name="Note 3 5 3 2" xfId="41870" xr:uid="{00000000-0005-0000-0000-00000EA40000}"/>
    <cellStyle name="Note 3 5 3 2 2" xfId="41871" xr:uid="{00000000-0005-0000-0000-00000FA40000}"/>
    <cellStyle name="Note 3 5 3 3" xfId="41872" xr:uid="{00000000-0005-0000-0000-000010A40000}"/>
    <cellStyle name="Note 3 5 4" xfId="41873" xr:uid="{00000000-0005-0000-0000-000011A40000}"/>
    <cellStyle name="Note 3 5 4 2" xfId="41874" xr:uid="{00000000-0005-0000-0000-000012A40000}"/>
    <cellStyle name="Note 3 5 4 2 2" xfId="41875" xr:uid="{00000000-0005-0000-0000-000013A40000}"/>
    <cellStyle name="Note 3 5 4 3" xfId="41876" xr:uid="{00000000-0005-0000-0000-000014A40000}"/>
    <cellStyle name="Note 3 5 5" xfId="41877" xr:uid="{00000000-0005-0000-0000-000015A40000}"/>
    <cellStyle name="Note 3 5 5 2" xfId="41878" xr:uid="{00000000-0005-0000-0000-000016A40000}"/>
    <cellStyle name="Note 3 5 6" xfId="41879" xr:uid="{00000000-0005-0000-0000-000017A40000}"/>
    <cellStyle name="Note 3 6" xfId="41880" xr:uid="{00000000-0005-0000-0000-000018A40000}"/>
    <cellStyle name="Note 3 6 2" xfId="41881" xr:uid="{00000000-0005-0000-0000-000019A40000}"/>
    <cellStyle name="Note 3 6 2 2" xfId="41882" xr:uid="{00000000-0005-0000-0000-00001AA40000}"/>
    <cellStyle name="Note 3 6 2 2 2" xfId="41883" xr:uid="{00000000-0005-0000-0000-00001BA40000}"/>
    <cellStyle name="Note 3 6 2 2 2 2" xfId="41884" xr:uid="{00000000-0005-0000-0000-00001CA40000}"/>
    <cellStyle name="Note 3 6 2 2 3" xfId="41885" xr:uid="{00000000-0005-0000-0000-00001DA40000}"/>
    <cellStyle name="Note 3 6 2 3" xfId="41886" xr:uid="{00000000-0005-0000-0000-00001EA40000}"/>
    <cellStyle name="Note 3 6 2 3 2" xfId="41887" xr:uid="{00000000-0005-0000-0000-00001FA40000}"/>
    <cellStyle name="Note 3 6 2 3 2 2" xfId="41888" xr:uid="{00000000-0005-0000-0000-000020A40000}"/>
    <cellStyle name="Note 3 6 2 3 3" xfId="41889" xr:uid="{00000000-0005-0000-0000-000021A40000}"/>
    <cellStyle name="Note 3 6 2 4" xfId="41890" xr:uid="{00000000-0005-0000-0000-000022A40000}"/>
    <cellStyle name="Note 3 6 2 4 2" xfId="41891" xr:uid="{00000000-0005-0000-0000-000023A40000}"/>
    <cellStyle name="Note 3 6 2 5" xfId="41892" xr:uid="{00000000-0005-0000-0000-000024A40000}"/>
    <cellStyle name="Note 3 6 3" xfId="41893" xr:uid="{00000000-0005-0000-0000-000025A40000}"/>
    <cellStyle name="Note 3 6 3 2" xfId="41894" xr:uid="{00000000-0005-0000-0000-000026A40000}"/>
    <cellStyle name="Note 3 6 3 2 2" xfId="41895" xr:uid="{00000000-0005-0000-0000-000027A40000}"/>
    <cellStyle name="Note 3 6 3 2 2 2" xfId="41896" xr:uid="{00000000-0005-0000-0000-000028A40000}"/>
    <cellStyle name="Note 3 6 3 2 3" xfId="41897" xr:uid="{00000000-0005-0000-0000-000029A40000}"/>
    <cellStyle name="Note 3 6 3 3" xfId="41898" xr:uid="{00000000-0005-0000-0000-00002AA40000}"/>
    <cellStyle name="Note 3 6 3 3 2" xfId="41899" xr:uid="{00000000-0005-0000-0000-00002BA40000}"/>
    <cellStyle name="Note 3 6 3 4" xfId="41900" xr:uid="{00000000-0005-0000-0000-00002CA40000}"/>
    <cellStyle name="Note 3 6 4" xfId="41901" xr:uid="{00000000-0005-0000-0000-00002DA40000}"/>
    <cellStyle name="Note 3 6 4 2" xfId="41902" xr:uid="{00000000-0005-0000-0000-00002EA40000}"/>
    <cellStyle name="Note 3 6 4 2 2" xfId="41903" xr:uid="{00000000-0005-0000-0000-00002FA40000}"/>
    <cellStyle name="Note 3 6 4 3" xfId="41904" xr:uid="{00000000-0005-0000-0000-000030A40000}"/>
    <cellStyle name="Note 3 6 5" xfId="41905" xr:uid="{00000000-0005-0000-0000-000031A40000}"/>
    <cellStyle name="Note 3 6 5 2" xfId="41906" xr:uid="{00000000-0005-0000-0000-000032A40000}"/>
    <cellStyle name="Note 3 6 5 2 2" xfId="41907" xr:uid="{00000000-0005-0000-0000-000033A40000}"/>
    <cellStyle name="Note 3 6 5 3" xfId="41908" xr:uid="{00000000-0005-0000-0000-000034A40000}"/>
    <cellStyle name="Note 3 6 6" xfId="41909" xr:uid="{00000000-0005-0000-0000-000035A40000}"/>
    <cellStyle name="Note 3 6 6 2" xfId="41910" xr:uid="{00000000-0005-0000-0000-000036A40000}"/>
    <cellStyle name="Note 3 6 7" xfId="41911" xr:uid="{00000000-0005-0000-0000-000037A40000}"/>
    <cellStyle name="Note 3 7" xfId="41912" xr:uid="{00000000-0005-0000-0000-000038A40000}"/>
    <cellStyle name="Note 3 7 2" xfId="41913" xr:uid="{00000000-0005-0000-0000-000039A40000}"/>
    <cellStyle name="Note 3 7 2 2" xfId="41914" xr:uid="{00000000-0005-0000-0000-00003AA40000}"/>
    <cellStyle name="Note 3 7 2 2 2" xfId="41915" xr:uid="{00000000-0005-0000-0000-00003BA40000}"/>
    <cellStyle name="Note 3 7 2 2 2 2" xfId="41916" xr:uid="{00000000-0005-0000-0000-00003CA40000}"/>
    <cellStyle name="Note 3 7 2 2 2 2 2" xfId="41917" xr:uid="{00000000-0005-0000-0000-00003DA40000}"/>
    <cellStyle name="Note 3 7 2 2 2 2 2 2" xfId="41918" xr:uid="{00000000-0005-0000-0000-00003EA40000}"/>
    <cellStyle name="Note 3 7 2 2 2 2 3" xfId="41919" xr:uid="{00000000-0005-0000-0000-00003FA40000}"/>
    <cellStyle name="Note 3 7 2 2 2 3" xfId="41920" xr:uid="{00000000-0005-0000-0000-000040A40000}"/>
    <cellStyle name="Note 3 7 2 2 2 3 2" xfId="41921" xr:uid="{00000000-0005-0000-0000-000041A40000}"/>
    <cellStyle name="Note 3 7 2 2 2 4" xfId="41922" xr:uid="{00000000-0005-0000-0000-000042A40000}"/>
    <cellStyle name="Note 3 7 2 2 3" xfId="41923" xr:uid="{00000000-0005-0000-0000-000043A40000}"/>
    <cellStyle name="Note 3 7 2 2 3 2" xfId="41924" xr:uid="{00000000-0005-0000-0000-000044A40000}"/>
    <cellStyle name="Note 3 7 2 2 3 2 2" xfId="41925" xr:uid="{00000000-0005-0000-0000-000045A40000}"/>
    <cellStyle name="Note 3 7 2 2 3 3" xfId="41926" xr:uid="{00000000-0005-0000-0000-000046A40000}"/>
    <cellStyle name="Note 3 7 2 2 4" xfId="41927" xr:uid="{00000000-0005-0000-0000-000047A40000}"/>
    <cellStyle name="Note 3 7 2 2 4 2" xfId="41928" xr:uid="{00000000-0005-0000-0000-000048A40000}"/>
    <cellStyle name="Note 3 7 2 2 5" xfId="41929" xr:uid="{00000000-0005-0000-0000-000049A40000}"/>
    <cellStyle name="Note 3 7 2 3" xfId="41930" xr:uid="{00000000-0005-0000-0000-00004AA40000}"/>
    <cellStyle name="Note 3 7 2 3 2" xfId="41931" xr:uid="{00000000-0005-0000-0000-00004BA40000}"/>
    <cellStyle name="Note 3 7 2 3 2 2" xfId="41932" xr:uid="{00000000-0005-0000-0000-00004CA40000}"/>
    <cellStyle name="Note 3 7 2 3 3" xfId="41933" xr:uid="{00000000-0005-0000-0000-00004DA40000}"/>
    <cellStyle name="Note 3 7 2 4" xfId="41934" xr:uid="{00000000-0005-0000-0000-00004EA40000}"/>
    <cellStyle name="Note 3 7 2 4 2" xfId="41935" xr:uid="{00000000-0005-0000-0000-00004FA40000}"/>
    <cellStyle name="Note 3 7 2 4 2 2" xfId="41936" xr:uid="{00000000-0005-0000-0000-000050A40000}"/>
    <cellStyle name="Note 3 7 2 4 2 2 2" xfId="41937" xr:uid="{00000000-0005-0000-0000-000051A40000}"/>
    <cellStyle name="Note 3 7 2 4 2 3" xfId="41938" xr:uid="{00000000-0005-0000-0000-000052A40000}"/>
    <cellStyle name="Note 3 7 2 4 3" xfId="41939" xr:uid="{00000000-0005-0000-0000-000053A40000}"/>
    <cellStyle name="Note 3 7 2 4 3 2" xfId="41940" xr:uid="{00000000-0005-0000-0000-000054A40000}"/>
    <cellStyle name="Note 3 7 2 4 4" xfId="41941" xr:uid="{00000000-0005-0000-0000-000055A40000}"/>
    <cellStyle name="Note 3 7 2 5" xfId="41942" xr:uid="{00000000-0005-0000-0000-000056A40000}"/>
    <cellStyle name="Note 3 7 2 5 2" xfId="41943" xr:uid="{00000000-0005-0000-0000-000057A40000}"/>
    <cellStyle name="Note 3 7 2 5 2 2" xfId="41944" xr:uid="{00000000-0005-0000-0000-000058A40000}"/>
    <cellStyle name="Note 3 7 2 5 3" xfId="41945" xr:uid="{00000000-0005-0000-0000-000059A40000}"/>
    <cellStyle name="Note 3 7 2 6" xfId="41946" xr:uid="{00000000-0005-0000-0000-00005AA40000}"/>
    <cellStyle name="Note 3 7 2 6 2" xfId="41947" xr:uid="{00000000-0005-0000-0000-00005BA40000}"/>
    <cellStyle name="Note 3 7 2 7" xfId="41948" xr:uid="{00000000-0005-0000-0000-00005CA40000}"/>
    <cellStyle name="Note 3 7 3" xfId="41949" xr:uid="{00000000-0005-0000-0000-00005DA40000}"/>
    <cellStyle name="Note 3 7 3 2" xfId="41950" xr:uid="{00000000-0005-0000-0000-00005EA40000}"/>
    <cellStyle name="Note 3 7 3 2 2" xfId="41951" xr:uid="{00000000-0005-0000-0000-00005FA40000}"/>
    <cellStyle name="Note 3 7 3 2 2 2" xfId="41952" xr:uid="{00000000-0005-0000-0000-000060A40000}"/>
    <cellStyle name="Note 3 7 3 2 2 2 2" xfId="41953" xr:uid="{00000000-0005-0000-0000-000061A40000}"/>
    <cellStyle name="Note 3 7 3 2 2 2 2 2" xfId="41954" xr:uid="{00000000-0005-0000-0000-000062A40000}"/>
    <cellStyle name="Note 3 7 3 2 2 2 3" xfId="41955" xr:uid="{00000000-0005-0000-0000-000063A40000}"/>
    <cellStyle name="Note 3 7 3 2 2 3" xfId="41956" xr:uid="{00000000-0005-0000-0000-000064A40000}"/>
    <cellStyle name="Note 3 7 3 2 2 3 2" xfId="41957" xr:uid="{00000000-0005-0000-0000-000065A40000}"/>
    <cellStyle name="Note 3 7 3 2 2 4" xfId="41958" xr:uid="{00000000-0005-0000-0000-000066A40000}"/>
    <cellStyle name="Note 3 7 3 2 3" xfId="41959" xr:uid="{00000000-0005-0000-0000-000067A40000}"/>
    <cellStyle name="Note 3 7 3 2 3 2" xfId="41960" xr:uid="{00000000-0005-0000-0000-000068A40000}"/>
    <cellStyle name="Note 3 7 3 2 3 2 2" xfId="41961" xr:uid="{00000000-0005-0000-0000-000069A40000}"/>
    <cellStyle name="Note 3 7 3 2 3 3" xfId="41962" xr:uid="{00000000-0005-0000-0000-00006AA40000}"/>
    <cellStyle name="Note 3 7 3 2 4" xfId="41963" xr:uid="{00000000-0005-0000-0000-00006BA40000}"/>
    <cellStyle name="Note 3 7 3 2 4 2" xfId="41964" xr:uid="{00000000-0005-0000-0000-00006CA40000}"/>
    <cellStyle name="Note 3 7 3 2 5" xfId="41965" xr:uid="{00000000-0005-0000-0000-00006DA40000}"/>
    <cellStyle name="Note 3 7 3 3" xfId="41966" xr:uid="{00000000-0005-0000-0000-00006EA40000}"/>
    <cellStyle name="Note 3 7 3 3 2" xfId="41967" xr:uid="{00000000-0005-0000-0000-00006FA40000}"/>
    <cellStyle name="Note 3 7 3 3 2 2" xfId="41968" xr:uid="{00000000-0005-0000-0000-000070A40000}"/>
    <cellStyle name="Note 3 7 3 3 2 2 2" xfId="41969" xr:uid="{00000000-0005-0000-0000-000071A40000}"/>
    <cellStyle name="Note 3 7 3 3 2 3" xfId="41970" xr:uid="{00000000-0005-0000-0000-000072A40000}"/>
    <cellStyle name="Note 3 7 3 3 3" xfId="41971" xr:uid="{00000000-0005-0000-0000-000073A40000}"/>
    <cellStyle name="Note 3 7 3 3 3 2" xfId="41972" xr:uid="{00000000-0005-0000-0000-000074A40000}"/>
    <cellStyle name="Note 3 7 3 3 4" xfId="41973" xr:uid="{00000000-0005-0000-0000-000075A40000}"/>
    <cellStyle name="Note 3 7 3 4" xfId="41974" xr:uid="{00000000-0005-0000-0000-000076A40000}"/>
    <cellStyle name="Note 3 7 3 4 2" xfId="41975" xr:uid="{00000000-0005-0000-0000-000077A40000}"/>
    <cellStyle name="Note 3 7 3 4 2 2" xfId="41976" xr:uid="{00000000-0005-0000-0000-000078A40000}"/>
    <cellStyle name="Note 3 7 3 4 3" xfId="41977" xr:uid="{00000000-0005-0000-0000-000079A40000}"/>
    <cellStyle name="Note 3 7 3 5" xfId="41978" xr:uid="{00000000-0005-0000-0000-00007AA40000}"/>
    <cellStyle name="Note 3 7 3 5 2" xfId="41979" xr:uid="{00000000-0005-0000-0000-00007BA40000}"/>
    <cellStyle name="Note 3 7 3 6" xfId="41980" xr:uid="{00000000-0005-0000-0000-00007CA40000}"/>
    <cellStyle name="Note 3 7 4" xfId="41981" xr:uid="{00000000-0005-0000-0000-00007DA40000}"/>
    <cellStyle name="Note 3 7 4 2" xfId="41982" xr:uid="{00000000-0005-0000-0000-00007EA40000}"/>
    <cellStyle name="Note 3 7 4 2 2" xfId="41983" xr:uid="{00000000-0005-0000-0000-00007FA40000}"/>
    <cellStyle name="Note 3 7 4 3" xfId="41984" xr:uid="{00000000-0005-0000-0000-000080A40000}"/>
    <cellStyle name="Note 3 7 5" xfId="41985" xr:uid="{00000000-0005-0000-0000-000081A40000}"/>
    <cellStyle name="Note 3 7 5 2" xfId="41986" xr:uid="{00000000-0005-0000-0000-000082A40000}"/>
    <cellStyle name="Note 3 7 5 2 2" xfId="41987" xr:uid="{00000000-0005-0000-0000-000083A40000}"/>
    <cellStyle name="Note 3 7 5 2 2 2" xfId="41988" xr:uid="{00000000-0005-0000-0000-000084A40000}"/>
    <cellStyle name="Note 3 7 5 2 3" xfId="41989" xr:uid="{00000000-0005-0000-0000-000085A40000}"/>
    <cellStyle name="Note 3 7 5 3" xfId="41990" xr:uid="{00000000-0005-0000-0000-000086A40000}"/>
    <cellStyle name="Note 3 7 5 3 2" xfId="41991" xr:uid="{00000000-0005-0000-0000-000087A40000}"/>
    <cellStyle name="Note 3 7 5 4" xfId="41992" xr:uid="{00000000-0005-0000-0000-000088A40000}"/>
    <cellStyle name="Note 3 7 6" xfId="41993" xr:uid="{00000000-0005-0000-0000-000089A40000}"/>
    <cellStyle name="Note 3 7 6 2" xfId="41994" xr:uid="{00000000-0005-0000-0000-00008AA40000}"/>
    <cellStyle name="Note 3 7 6 2 2" xfId="41995" xr:uid="{00000000-0005-0000-0000-00008BA40000}"/>
    <cellStyle name="Note 3 7 6 3" xfId="41996" xr:uid="{00000000-0005-0000-0000-00008CA40000}"/>
    <cellStyle name="Note 3 7 7" xfId="41997" xr:uid="{00000000-0005-0000-0000-00008DA40000}"/>
    <cellStyle name="Note 3 7 7 2" xfId="41998" xr:uid="{00000000-0005-0000-0000-00008EA40000}"/>
    <cellStyle name="Note 3 7 8" xfId="41999" xr:uid="{00000000-0005-0000-0000-00008FA40000}"/>
    <cellStyle name="Note 3 8" xfId="42000" xr:uid="{00000000-0005-0000-0000-000090A40000}"/>
    <cellStyle name="Note 3 8 2" xfId="42001" xr:uid="{00000000-0005-0000-0000-000091A40000}"/>
    <cellStyle name="Note 3 8 2 2" xfId="42002" xr:uid="{00000000-0005-0000-0000-000092A40000}"/>
    <cellStyle name="Note 3 8 2 2 2" xfId="42003" xr:uid="{00000000-0005-0000-0000-000093A40000}"/>
    <cellStyle name="Note 3 8 2 3" xfId="42004" xr:uid="{00000000-0005-0000-0000-000094A40000}"/>
    <cellStyle name="Note 3 8 3" xfId="42005" xr:uid="{00000000-0005-0000-0000-000095A40000}"/>
    <cellStyle name="Note 3 8 3 2" xfId="42006" xr:uid="{00000000-0005-0000-0000-000096A40000}"/>
    <cellStyle name="Note 3 8 4" xfId="42007" xr:uid="{00000000-0005-0000-0000-000097A40000}"/>
    <cellStyle name="Note 3 9" xfId="42008" xr:uid="{00000000-0005-0000-0000-000098A40000}"/>
    <cellStyle name="Note 3 9 2" xfId="42009" xr:uid="{00000000-0005-0000-0000-000099A40000}"/>
    <cellStyle name="Note 3 9 2 2" xfId="42010" xr:uid="{00000000-0005-0000-0000-00009AA40000}"/>
    <cellStyle name="Note 3 9 3" xfId="42011" xr:uid="{00000000-0005-0000-0000-00009BA40000}"/>
    <cellStyle name="Note 4" xfId="42012" xr:uid="{00000000-0005-0000-0000-00009CA40000}"/>
    <cellStyle name="Note 4 10" xfId="42013" xr:uid="{00000000-0005-0000-0000-00009DA40000}"/>
    <cellStyle name="Note 4 2" xfId="42014" xr:uid="{00000000-0005-0000-0000-00009EA40000}"/>
    <cellStyle name="Note 4 2 2" xfId="42015" xr:uid="{00000000-0005-0000-0000-00009FA40000}"/>
    <cellStyle name="Note 4 2 2 2" xfId="42016" xr:uid="{00000000-0005-0000-0000-0000A0A40000}"/>
    <cellStyle name="Note 4 2 2 2 2" xfId="42017" xr:uid="{00000000-0005-0000-0000-0000A1A40000}"/>
    <cellStyle name="Note 4 2 2 2 2 2" xfId="42018" xr:uid="{00000000-0005-0000-0000-0000A2A40000}"/>
    <cellStyle name="Note 4 2 2 2 3" xfId="42019" xr:uid="{00000000-0005-0000-0000-0000A3A40000}"/>
    <cellStyle name="Note 4 2 2 3" xfId="42020" xr:uid="{00000000-0005-0000-0000-0000A4A40000}"/>
    <cellStyle name="Note 4 2 2 3 2" xfId="42021" xr:uid="{00000000-0005-0000-0000-0000A5A40000}"/>
    <cellStyle name="Note 4 2 2 3 2 2" xfId="42022" xr:uid="{00000000-0005-0000-0000-0000A6A40000}"/>
    <cellStyle name="Note 4 2 2 3 3" xfId="42023" xr:uid="{00000000-0005-0000-0000-0000A7A40000}"/>
    <cellStyle name="Note 4 2 2 4" xfId="42024" xr:uid="{00000000-0005-0000-0000-0000A8A40000}"/>
    <cellStyle name="Note 4 2 2 4 2" xfId="42025" xr:uid="{00000000-0005-0000-0000-0000A9A40000}"/>
    <cellStyle name="Note 4 2 2 4 2 2" xfId="42026" xr:uid="{00000000-0005-0000-0000-0000AAA40000}"/>
    <cellStyle name="Note 4 2 2 4 3" xfId="42027" xr:uid="{00000000-0005-0000-0000-0000ABA40000}"/>
    <cellStyle name="Note 4 2 2 5" xfId="42028" xr:uid="{00000000-0005-0000-0000-0000ACA40000}"/>
    <cellStyle name="Note 4 2 2 5 2" xfId="42029" xr:uid="{00000000-0005-0000-0000-0000ADA40000}"/>
    <cellStyle name="Note 4 2 2 6" xfId="42030" xr:uid="{00000000-0005-0000-0000-0000AEA40000}"/>
    <cellStyle name="Note 4 2 3" xfId="42031" xr:uid="{00000000-0005-0000-0000-0000AFA40000}"/>
    <cellStyle name="Note 4 2 3 2" xfId="42032" xr:uid="{00000000-0005-0000-0000-0000B0A40000}"/>
    <cellStyle name="Note 4 2 3 2 2" xfId="42033" xr:uid="{00000000-0005-0000-0000-0000B1A40000}"/>
    <cellStyle name="Note 4 2 3 2 2 2" xfId="42034" xr:uid="{00000000-0005-0000-0000-0000B2A40000}"/>
    <cellStyle name="Note 4 2 3 2 2 2 2" xfId="42035" xr:uid="{00000000-0005-0000-0000-0000B3A40000}"/>
    <cellStyle name="Note 4 2 3 2 2 3" xfId="42036" xr:uid="{00000000-0005-0000-0000-0000B4A40000}"/>
    <cellStyle name="Note 4 2 3 2 3" xfId="42037" xr:uid="{00000000-0005-0000-0000-0000B5A40000}"/>
    <cellStyle name="Note 4 2 3 2 3 2" xfId="42038" xr:uid="{00000000-0005-0000-0000-0000B6A40000}"/>
    <cellStyle name="Note 4 2 3 2 3 2 2" xfId="42039" xr:uid="{00000000-0005-0000-0000-0000B7A40000}"/>
    <cellStyle name="Note 4 2 3 2 3 3" xfId="42040" xr:uid="{00000000-0005-0000-0000-0000B8A40000}"/>
    <cellStyle name="Note 4 2 3 2 4" xfId="42041" xr:uid="{00000000-0005-0000-0000-0000B9A40000}"/>
    <cellStyle name="Note 4 2 3 2 4 2" xfId="42042" xr:uid="{00000000-0005-0000-0000-0000BAA40000}"/>
    <cellStyle name="Note 4 2 3 2 5" xfId="42043" xr:uid="{00000000-0005-0000-0000-0000BBA40000}"/>
    <cellStyle name="Note 4 2 3 3" xfId="42044" xr:uid="{00000000-0005-0000-0000-0000BCA40000}"/>
    <cellStyle name="Note 4 2 3 3 2" xfId="42045" xr:uid="{00000000-0005-0000-0000-0000BDA40000}"/>
    <cellStyle name="Note 4 2 3 3 2 2" xfId="42046" xr:uid="{00000000-0005-0000-0000-0000BEA40000}"/>
    <cellStyle name="Note 4 2 3 3 2 2 2" xfId="42047" xr:uid="{00000000-0005-0000-0000-0000BFA40000}"/>
    <cellStyle name="Note 4 2 3 3 2 3" xfId="42048" xr:uid="{00000000-0005-0000-0000-0000C0A40000}"/>
    <cellStyle name="Note 4 2 3 3 3" xfId="42049" xr:uid="{00000000-0005-0000-0000-0000C1A40000}"/>
    <cellStyle name="Note 4 2 3 3 3 2" xfId="42050" xr:uid="{00000000-0005-0000-0000-0000C2A40000}"/>
    <cellStyle name="Note 4 2 3 3 4" xfId="42051" xr:uid="{00000000-0005-0000-0000-0000C3A40000}"/>
    <cellStyle name="Note 4 2 3 4" xfId="42052" xr:uid="{00000000-0005-0000-0000-0000C4A40000}"/>
    <cellStyle name="Note 4 2 3 4 2" xfId="42053" xr:uid="{00000000-0005-0000-0000-0000C5A40000}"/>
    <cellStyle name="Note 4 2 3 4 2 2" xfId="42054" xr:uid="{00000000-0005-0000-0000-0000C6A40000}"/>
    <cellStyle name="Note 4 2 3 4 3" xfId="42055" xr:uid="{00000000-0005-0000-0000-0000C7A40000}"/>
    <cellStyle name="Note 4 2 3 5" xfId="42056" xr:uid="{00000000-0005-0000-0000-0000C8A40000}"/>
    <cellStyle name="Note 4 2 3 5 2" xfId="42057" xr:uid="{00000000-0005-0000-0000-0000C9A40000}"/>
    <cellStyle name="Note 4 2 3 5 2 2" xfId="42058" xr:uid="{00000000-0005-0000-0000-0000CAA40000}"/>
    <cellStyle name="Note 4 2 3 5 3" xfId="42059" xr:uid="{00000000-0005-0000-0000-0000CBA40000}"/>
    <cellStyle name="Note 4 2 3 6" xfId="42060" xr:uid="{00000000-0005-0000-0000-0000CCA40000}"/>
    <cellStyle name="Note 4 2 3 6 2" xfId="42061" xr:uid="{00000000-0005-0000-0000-0000CDA40000}"/>
    <cellStyle name="Note 4 2 3 7" xfId="42062" xr:uid="{00000000-0005-0000-0000-0000CEA40000}"/>
    <cellStyle name="Note 4 2 4" xfId="42063" xr:uid="{00000000-0005-0000-0000-0000CFA40000}"/>
    <cellStyle name="Note 4 2 4 2" xfId="42064" xr:uid="{00000000-0005-0000-0000-0000D0A40000}"/>
    <cellStyle name="Note 4 2 4 2 2" xfId="42065" xr:uid="{00000000-0005-0000-0000-0000D1A40000}"/>
    <cellStyle name="Note 4 2 4 2 2 2" xfId="42066" xr:uid="{00000000-0005-0000-0000-0000D2A40000}"/>
    <cellStyle name="Note 4 2 4 2 3" xfId="42067" xr:uid="{00000000-0005-0000-0000-0000D3A40000}"/>
    <cellStyle name="Note 4 2 4 3" xfId="42068" xr:uid="{00000000-0005-0000-0000-0000D4A40000}"/>
    <cellStyle name="Note 4 2 4 3 2" xfId="42069" xr:uid="{00000000-0005-0000-0000-0000D5A40000}"/>
    <cellStyle name="Note 4 2 4 4" xfId="42070" xr:uid="{00000000-0005-0000-0000-0000D6A40000}"/>
    <cellStyle name="Note 4 2 5" xfId="42071" xr:uid="{00000000-0005-0000-0000-0000D7A40000}"/>
    <cellStyle name="Note 4 2 5 2" xfId="42072" xr:uid="{00000000-0005-0000-0000-0000D8A40000}"/>
    <cellStyle name="Note 4 2 5 2 2" xfId="42073" xr:uid="{00000000-0005-0000-0000-0000D9A40000}"/>
    <cellStyle name="Note 4 2 5 3" xfId="42074" xr:uid="{00000000-0005-0000-0000-0000DAA40000}"/>
    <cellStyle name="Note 4 2 6" xfId="42075" xr:uid="{00000000-0005-0000-0000-0000DBA40000}"/>
    <cellStyle name="Note 4 2 6 2" xfId="42076" xr:uid="{00000000-0005-0000-0000-0000DCA40000}"/>
    <cellStyle name="Note 4 2 6 2 2" xfId="42077" xr:uid="{00000000-0005-0000-0000-0000DDA40000}"/>
    <cellStyle name="Note 4 2 6 3" xfId="42078" xr:uid="{00000000-0005-0000-0000-0000DEA40000}"/>
    <cellStyle name="Note 4 2 7" xfId="42079" xr:uid="{00000000-0005-0000-0000-0000DFA40000}"/>
    <cellStyle name="Note 4 2 7 2" xfId="42080" xr:uid="{00000000-0005-0000-0000-0000E0A40000}"/>
    <cellStyle name="Note 4 2 8" xfId="42081" xr:uid="{00000000-0005-0000-0000-0000E1A40000}"/>
    <cellStyle name="Note 4 3" xfId="42082" xr:uid="{00000000-0005-0000-0000-0000E2A40000}"/>
    <cellStyle name="Note 4 3 2" xfId="42083" xr:uid="{00000000-0005-0000-0000-0000E3A40000}"/>
    <cellStyle name="Note 4 3 2 2" xfId="42084" xr:uid="{00000000-0005-0000-0000-0000E4A40000}"/>
    <cellStyle name="Note 4 3 2 2 2" xfId="42085" xr:uid="{00000000-0005-0000-0000-0000E5A40000}"/>
    <cellStyle name="Note 4 3 2 3" xfId="42086" xr:uid="{00000000-0005-0000-0000-0000E6A40000}"/>
    <cellStyle name="Note 4 3 2 3 2" xfId="42087" xr:uid="{00000000-0005-0000-0000-0000E7A40000}"/>
    <cellStyle name="Note 4 3 2 3 2 2" xfId="42088" xr:uid="{00000000-0005-0000-0000-0000E8A40000}"/>
    <cellStyle name="Note 4 3 2 3 3" xfId="42089" xr:uid="{00000000-0005-0000-0000-0000E9A40000}"/>
    <cellStyle name="Note 4 3 2 4" xfId="42090" xr:uid="{00000000-0005-0000-0000-0000EAA40000}"/>
    <cellStyle name="Note 4 3 2 4 2" xfId="42091" xr:uid="{00000000-0005-0000-0000-0000EBA40000}"/>
    <cellStyle name="Note 4 3 2 4 2 2" xfId="42092" xr:uid="{00000000-0005-0000-0000-0000ECA40000}"/>
    <cellStyle name="Note 4 3 2 4 3" xfId="42093" xr:uid="{00000000-0005-0000-0000-0000EDA40000}"/>
    <cellStyle name="Note 4 3 2 5" xfId="42094" xr:uid="{00000000-0005-0000-0000-0000EEA40000}"/>
    <cellStyle name="Note 4 3 3" xfId="42095" xr:uid="{00000000-0005-0000-0000-0000EFA40000}"/>
    <cellStyle name="Note 4 3 3 2" xfId="42096" xr:uid="{00000000-0005-0000-0000-0000F0A40000}"/>
    <cellStyle name="Note 4 3 3 2 2" xfId="42097" xr:uid="{00000000-0005-0000-0000-0000F1A40000}"/>
    <cellStyle name="Note 4 3 3 2 2 2" xfId="42098" xr:uid="{00000000-0005-0000-0000-0000F2A40000}"/>
    <cellStyle name="Note 4 3 3 2 3" xfId="42099" xr:uid="{00000000-0005-0000-0000-0000F3A40000}"/>
    <cellStyle name="Note 4 3 3 2 3 2" xfId="42100" xr:uid="{00000000-0005-0000-0000-0000F4A40000}"/>
    <cellStyle name="Note 4 3 3 2 3 2 2" xfId="42101" xr:uid="{00000000-0005-0000-0000-0000F5A40000}"/>
    <cellStyle name="Note 4 3 3 2 3 3" xfId="42102" xr:uid="{00000000-0005-0000-0000-0000F6A40000}"/>
    <cellStyle name="Note 4 3 3 2 4" xfId="42103" xr:uid="{00000000-0005-0000-0000-0000F7A40000}"/>
    <cellStyle name="Note 4 3 3 3" xfId="42104" xr:uid="{00000000-0005-0000-0000-0000F8A40000}"/>
    <cellStyle name="Note 4 3 3 3 2" xfId="42105" xr:uid="{00000000-0005-0000-0000-0000F9A40000}"/>
    <cellStyle name="Note 4 3 3 3 2 2" xfId="42106" xr:uid="{00000000-0005-0000-0000-0000FAA40000}"/>
    <cellStyle name="Note 4 3 3 3 3" xfId="42107" xr:uid="{00000000-0005-0000-0000-0000FBA40000}"/>
    <cellStyle name="Note 4 3 3 4" xfId="42108" xr:uid="{00000000-0005-0000-0000-0000FCA40000}"/>
    <cellStyle name="Note 4 3 3 4 2" xfId="42109" xr:uid="{00000000-0005-0000-0000-0000FDA40000}"/>
    <cellStyle name="Note 4 3 3 4 2 2" xfId="42110" xr:uid="{00000000-0005-0000-0000-0000FEA40000}"/>
    <cellStyle name="Note 4 3 3 4 3" xfId="42111" xr:uid="{00000000-0005-0000-0000-0000FFA40000}"/>
    <cellStyle name="Note 4 3 3 5" xfId="42112" xr:uid="{00000000-0005-0000-0000-000000A50000}"/>
    <cellStyle name="Note 4 3 3 5 2" xfId="42113" xr:uid="{00000000-0005-0000-0000-000001A50000}"/>
    <cellStyle name="Note 4 3 3 5 2 2" xfId="42114" xr:uid="{00000000-0005-0000-0000-000002A50000}"/>
    <cellStyle name="Note 4 3 3 5 3" xfId="42115" xr:uid="{00000000-0005-0000-0000-000003A50000}"/>
    <cellStyle name="Note 4 3 3 6" xfId="42116" xr:uid="{00000000-0005-0000-0000-000004A50000}"/>
    <cellStyle name="Note 4 3 4" xfId="42117" xr:uid="{00000000-0005-0000-0000-000005A50000}"/>
    <cellStyle name="Note 4 3 4 2" xfId="42118" xr:uid="{00000000-0005-0000-0000-000006A50000}"/>
    <cellStyle name="Note 4 3 4 2 2" xfId="42119" xr:uid="{00000000-0005-0000-0000-000007A50000}"/>
    <cellStyle name="Note 4 3 4 3" xfId="42120" xr:uid="{00000000-0005-0000-0000-000008A50000}"/>
    <cellStyle name="Note 4 3 5" xfId="42121" xr:uid="{00000000-0005-0000-0000-000009A50000}"/>
    <cellStyle name="Note 4 3 5 2" xfId="42122" xr:uid="{00000000-0005-0000-0000-00000AA50000}"/>
    <cellStyle name="Note 4 3 5 2 2" xfId="42123" xr:uid="{00000000-0005-0000-0000-00000BA50000}"/>
    <cellStyle name="Note 4 3 5 3" xfId="42124" xr:uid="{00000000-0005-0000-0000-00000CA50000}"/>
    <cellStyle name="Note 4 3 6" xfId="42125" xr:uid="{00000000-0005-0000-0000-00000DA50000}"/>
    <cellStyle name="Note 4 3 6 2" xfId="42126" xr:uid="{00000000-0005-0000-0000-00000EA50000}"/>
    <cellStyle name="Note 4 3 6 2 2" xfId="42127" xr:uid="{00000000-0005-0000-0000-00000FA50000}"/>
    <cellStyle name="Note 4 3 6 3" xfId="42128" xr:uid="{00000000-0005-0000-0000-000010A50000}"/>
    <cellStyle name="Note 4 3 7" xfId="42129" xr:uid="{00000000-0005-0000-0000-000011A50000}"/>
    <cellStyle name="Note 4 4" xfId="42130" xr:uid="{00000000-0005-0000-0000-000012A50000}"/>
    <cellStyle name="Note 4 4 2" xfId="42131" xr:uid="{00000000-0005-0000-0000-000013A50000}"/>
    <cellStyle name="Note 4 4 2 2" xfId="42132" xr:uid="{00000000-0005-0000-0000-000014A50000}"/>
    <cellStyle name="Note 4 4 2 2 2" xfId="42133" xr:uid="{00000000-0005-0000-0000-000015A50000}"/>
    <cellStyle name="Note 4 4 2 3" xfId="42134" xr:uid="{00000000-0005-0000-0000-000016A50000}"/>
    <cellStyle name="Note 4 4 3" xfId="42135" xr:uid="{00000000-0005-0000-0000-000017A50000}"/>
    <cellStyle name="Note 4 4 3 2" xfId="42136" xr:uid="{00000000-0005-0000-0000-000018A50000}"/>
    <cellStyle name="Note 4 4 3 2 2" xfId="42137" xr:uid="{00000000-0005-0000-0000-000019A50000}"/>
    <cellStyle name="Note 4 4 3 3" xfId="42138" xr:uid="{00000000-0005-0000-0000-00001AA50000}"/>
    <cellStyle name="Note 4 4 4" xfId="42139" xr:uid="{00000000-0005-0000-0000-00001BA50000}"/>
    <cellStyle name="Note 4 4 4 2" xfId="42140" xr:uid="{00000000-0005-0000-0000-00001CA50000}"/>
    <cellStyle name="Note 4 4 4 2 2" xfId="42141" xr:uid="{00000000-0005-0000-0000-00001DA50000}"/>
    <cellStyle name="Note 4 4 4 3" xfId="42142" xr:uid="{00000000-0005-0000-0000-00001EA50000}"/>
    <cellStyle name="Note 4 4 5" xfId="42143" xr:uid="{00000000-0005-0000-0000-00001FA50000}"/>
    <cellStyle name="Note 4 4 5 2" xfId="42144" xr:uid="{00000000-0005-0000-0000-000020A50000}"/>
    <cellStyle name="Note 4 4 6" xfId="42145" xr:uid="{00000000-0005-0000-0000-000021A50000}"/>
    <cellStyle name="Note 4 5" xfId="42146" xr:uid="{00000000-0005-0000-0000-000022A50000}"/>
    <cellStyle name="Note 4 5 2" xfId="42147" xr:uid="{00000000-0005-0000-0000-000023A50000}"/>
    <cellStyle name="Note 4 5 2 2" xfId="42148" xr:uid="{00000000-0005-0000-0000-000024A50000}"/>
    <cellStyle name="Note 4 5 2 2 2" xfId="42149" xr:uid="{00000000-0005-0000-0000-000025A50000}"/>
    <cellStyle name="Note 4 5 2 2 2 2" xfId="42150" xr:uid="{00000000-0005-0000-0000-000026A50000}"/>
    <cellStyle name="Note 4 5 2 2 3" xfId="42151" xr:uid="{00000000-0005-0000-0000-000027A50000}"/>
    <cellStyle name="Note 4 5 2 3" xfId="42152" xr:uid="{00000000-0005-0000-0000-000028A50000}"/>
    <cellStyle name="Note 4 5 2 3 2" xfId="42153" xr:uid="{00000000-0005-0000-0000-000029A50000}"/>
    <cellStyle name="Note 4 5 2 3 2 2" xfId="42154" xr:uid="{00000000-0005-0000-0000-00002AA50000}"/>
    <cellStyle name="Note 4 5 2 3 3" xfId="42155" xr:uid="{00000000-0005-0000-0000-00002BA50000}"/>
    <cellStyle name="Note 4 5 2 4" xfId="42156" xr:uid="{00000000-0005-0000-0000-00002CA50000}"/>
    <cellStyle name="Note 4 5 2 4 2" xfId="42157" xr:uid="{00000000-0005-0000-0000-00002DA50000}"/>
    <cellStyle name="Note 4 5 2 5" xfId="42158" xr:uid="{00000000-0005-0000-0000-00002EA50000}"/>
    <cellStyle name="Note 4 5 3" xfId="42159" xr:uid="{00000000-0005-0000-0000-00002FA50000}"/>
    <cellStyle name="Note 4 5 3 2" xfId="42160" xr:uid="{00000000-0005-0000-0000-000030A50000}"/>
    <cellStyle name="Note 4 5 3 2 2" xfId="42161" xr:uid="{00000000-0005-0000-0000-000031A50000}"/>
    <cellStyle name="Note 4 5 3 2 2 2" xfId="42162" xr:uid="{00000000-0005-0000-0000-000032A50000}"/>
    <cellStyle name="Note 4 5 3 2 3" xfId="42163" xr:uid="{00000000-0005-0000-0000-000033A50000}"/>
    <cellStyle name="Note 4 5 3 3" xfId="42164" xr:uid="{00000000-0005-0000-0000-000034A50000}"/>
    <cellStyle name="Note 4 5 3 3 2" xfId="42165" xr:uid="{00000000-0005-0000-0000-000035A50000}"/>
    <cellStyle name="Note 4 5 3 4" xfId="42166" xr:uid="{00000000-0005-0000-0000-000036A50000}"/>
    <cellStyle name="Note 4 5 4" xfId="42167" xr:uid="{00000000-0005-0000-0000-000037A50000}"/>
    <cellStyle name="Note 4 5 4 2" xfId="42168" xr:uid="{00000000-0005-0000-0000-000038A50000}"/>
    <cellStyle name="Note 4 5 4 2 2" xfId="42169" xr:uid="{00000000-0005-0000-0000-000039A50000}"/>
    <cellStyle name="Note 4 5 4 3" xfId="42170" xr:uid="{00000000-0005-0000-0000-00003AA50000}"/>
    <cellStyle name="Note 4 5 5" xfId="42171" xr:uid="{00000000-0005-0000-0000-00003BA50000}"/>
    <cellStyle name="Note 4 5 5 2" xfId="42172" xr:uid="{00000000-0005-0000-0000-00003CA50000}"/>
    <cellStyle name="Note 4 5 5 2 2" xfId="42173" xr:uid="{00000000-0005-0000-0000-00003DA50000}"/>
    <cellStyle name="Note 4 5 5 3" xfId="42174" xr:uid="{00000000-0005-0000-0000-00003EA50000}"/>
    <cellStyle name="Note 4 5 6" xfId="42175" xr:uid="{00000000-0005-0000-0000-00003FA50000}"/>
    <cellStyle name="Note 4 5 6 2" xfId="42176" xr:uid="{00000000-0005-0000-0000-000040A50000}"/>
    <cellStyle name="Note 4 5 7" xfId="42177" xr:uid="{00000000-0005-0000-0000-000041A50000}"/>
    <cellStyle name="Note 4 6" xfId="42178" xr:uid="{00000000-0005-0000-0000-000042A50000}"/>
    <cellStyle name="Note 4 6 2" xfId="42179" xr:uid="{00000000-0005-0000-0000-000043A50000}"/>
    <cellStyle name="Note 4 6 2 2" xfId="42180" xr:uid="{00000000-0005-0000-0000-000044A50000}"/>
    <cellStyle name="Note 4 6 2 2 2" xfId="42181" xr:uid="{00000000-0005-0000-0000-000045A50000}"/>
    <cellStyle name="Note 4 6 2 3" xfId="42182" xr:uid="{00000000-0005-0000-0000-000046A50000}"/>
    <cellStyle name="Note 4 6 3" xfId="42183" xr:uid="{00000000-0005-0000-0000-000047A50000}"/>
    <cellStyle name="Note 4 6 3 2" xfId="42184" xr:uid="{00000000-0005-0000-0000-000048A50000}"/>
    <cellStyle name="Note 4 6 4" xfId="42185" xr:uid="{00000000-0005-0000-0000-000049A50000}"/>
    <cellStyle name="Note 4 7" xfId="42186" xr:uid="{00000000-0005-0000-0000-00004AA50000}"/>
    <cellStyle name="Note 4 7 2" xfId="42187" xr:uid="{00000000-0005-0000-0000-00004BA50000}"/>
    <cellStyle name="Note 4 7 2 2" xfId="42188" xr:uid="{00000000-0005-0000-0000-00004CA50000}"/>
    <cellStyle name="Note 4 7 3" xfId="42189" xr:uid="{00000000-0005-0000-0000-00004DA50000}"/>
    <cellStyle name="Note 4 8" xfId="42190" xr:uid="{00000000-0005-0000-0000-00004EA50000}"/>
    <cellStyle name="Note 4 8 2" xfId="42191" xr:uid="{00000000-0005-0000-0000-00004FA50000}"/>
    <cellStyle name="Note 4 8 2 2" xfId="42192" xr:uid="{00000000-0005-0000-0000-000050A50000}"/>
    <cellStyle name="Note 4 8 3" xfId="42193" xr:uid="{00000000-0005-0000-0000-000051A50000}"/>
    <cellStyle name="Note 4 9" xfId="42194" xr:uid="{00000000-0005-0000-0000-000052A50000}"/>
    <cellStyle name="Note 4 9 2" xfId="42195" xr:uid="{00000000-0005-0000-0000-000053A50000}"/>
    <cellStyle name="Note 5" xfId="42196" xr:uid="{00000000-0005-0000-0000-000054A50000}"/>
    <cellStyle name="Note 5 10" xfId="42197" xr:uid="{00000000-0005-0000-0000-000055A50000}"/>
    <cellStyle name="Note 5 2" xfId="42198" xr:uid="{00000000-0005-0000-0000-000056A50000}"/>
    <cellStyle name="Note 5 2 2" xfId="42199" xr:uid="{00000000-0005-0000-0000-000057A50000}"/>
    <cellStyle name="Note 5 2 2 2" xfId="42200" xr:uid="{00000000-0005-0000-0000-000058A50000}"/>
    <cellStyle name="Note 5 2 2 2 2" xfId="42201" xr:uid="{00000000-0005-0000-0000-000059A50000}"/>
    <cellStyle name="Note 5 2 2 2 2 2" xfId="42202" xr:uid="{00000000-0005-0000-0000-00005AA50000}"/>
    <cellStyle name="Note 5 2 2 2 2 2 2" xfId="42203" xr:uid="{00000000-0005-0000-0000-00005BA50000}"/>
    <cellStyle name="Note 5 2 2 2 2 3" xfId="42204" xr:uid="{00000000-0005-0000-0000-00005CA50000}"/>
    <cellStyle name="Note 5 2 2 2 3" xfId="42205" xr:uid="{00000000-0005-0000-0000-00005DA50000}"/>
    <cellStyle name="Note 5 2 2 2 3 2" xfId="42206" xr:uid="{00000000-0005-0000-0000-00005EA50000}"/>
    <cellStyle name="Note 5 2 2 2 4" xfId="42207" xr:uid="{00000000-0005-0000-0000-00005FA50000}"/>
    <cellStyle name="Note 5 2 2 3" xfId="42208" xr:uid="{00000000-0005-0000-0000-000060A50000}"/>
    <cellStyle name="Note 5 2 2 3 2" xfId="42209" xr:uid="{00000000-0005-0000-0000-000061A50000}"/>
    <cellStyle name="Note 5 2 2 3 2 2" xfId="42210" xr:uid="{00000000-0005-0000-0000-000062A50000}"/>
    <cellStyle name="Note 5 2 2 3 3" xfId="42211" xr:uid="{00000000-0005-0000-0000-000063A50000}"/>
    <cellStyle name="Note 5 2 2 4" xfId="42212" xr:uid="{00000000-0005-0000-0000-000064A50000}"/>
    <cellStyle name="Note 5 2 2 4 2" xfId="42213" xr:uid="{00000000-0005-0000-0000-000065A50000}"/>
    <cellStyle name="Note 5 2 2 5" xfId="42214" xr:uid="{00000000-0005-0000-0000-000066A50000}"/>
    <cellStyle name="Note 5 2 3" xfId="42215" xr:uid="{00000000-0005-0000-0000-000067A50000}"/>
    <cellStyle name="Note 5 2 3 2" xfId="42216" xr:uid="{00000000-0005-0000-0000-000068A50000}"/>
    <cellStyle name="Note 5 2 3 2 2" xfId="42217" xr:uid="{00000000-0005-0000-0000-000069A50000}"/>
    <cellStyle name="Note 5 2 3 3" xfId="42218" xr:uid="{00000000-0005-0000-0000-00006AA50000}"/>
    <cellStyle name="Note 5 2 4" xfId="42219" xr:uid="{00000000-0005-0000-0000-00006BA50000}"/>
    <cellStyle name="Note 5 2 4 2" xfId="42220" xr:uid="{00000000-0005-0000-0000-00006CA50000}"/>
    <cellStyle name="Note 5 2 4 2 2" xfId="42221" xr:uid="{00000000-0005-0000-0000-00006DA50000}"/>
    <cellStyle name="Note 5 2 4 3" xfId="42222" xr:uid="{00000000-0005-0000-0000-00006EA50000}"/>
    <cellStyle name="Note 5 2 5" xfId="42223" xr:uid="{00000000-0005-0000-0000-00006FA50000}"/>
    <cellStyle name="Note 5 2 5 2" xfId="42224" xr:uid="{00000000-0005-0000-0000-000070A50000}"/>
    <cellStyle name="Note 5 2 5 2 2" xfId="42225" xr:uid="{00000000-0005-0000-0000-000071A50000}"/>
    <cellStyle name="Note 5 2 5 2 2 2" xfId="42226" xr:uid="{00000000-0005-0000-0000-000072A50000}"/>
    <cellStyle name="Note 5 2 5 2 3" xfId="42227" xr:uid="{00000000-0005-0000-0000-000073A50000}"/>
    <cellStyle name="Note 5 2 5 3" xfId="42228" xr:uid="{00000000-0005-0000-0000-000074A50000}"/>
    <cellStyle name="Note 5 2 5 3 2" xfId="42229" xr:uid="{00000000-0005-0000-0000-000075A50000}"/>
    <cellStyle name="Note 5 2 5 4" xfId="42230" xr:uid="{00000000-0005-0000-0000-000076A50000}"/>
    <cellStyle name="Note 5 2 6" xfId="42231" xr:uid="{00000000-0005-0000-0000-000077A50000}"/>
    <cellStyle name="Note 5 2 6 2" xfId="42232" xr:uid="{00000000-0005-0000-0000-000078A50000}"/>
    <cellStyle name="Note 5 2 6 2 2" xfId="42233" xr:uid="{00000000-0005-0000-0000-000079A50000}"/>
    <cellStyle name="Note 5 2 6 3" xfId="42234" xr:uid="{00000000-0005-0000-0000-00007AA50000}"/>
    <cellStyle name="Note 5 2 7" xfId="42235" xr:uid="{00000000-0005-0000-0000-00007BA50000}"/>
    <cellStyle name="Note 5 2 7 2" xfId="42236" xr:uid="{00000000-0005-0000-0000-00007CA50000}"/>
    <cellStyle name="Note 5 2 8" xfId="42237" xr:uid="{00000000-0005-0000-0000-00007DA50000}"/>
    <cellStyle name="Note 5 3" xfId="42238" xr:uid="{00000000-0005-0000-0000-00007EA50000}"/>
    <cellStyle name="Note 5 3 2" xfId="42239" xr:uid="{00000000-0005-0000-0000-00007FA50000}"/>
    <cellStyle name="Note 5 3 2 2" xfId="42240" xr:uid="{00000000-0005-0000-0000-000080A50000}"/>
    <cellStyle name="Note 5 3 2 2 2" xfId="42241" xr:uid="{00000000-0005-0000-0000-000081A50000}"/>
    <cellStyle name="Note 5 3 2 2 2 2" xfId="42242" xr:uid="{00000000-0005-0000-0000-000082A50000}"/>
    <cellStyle name="Note 5 3 2 2 2 2 2" xfId="42243" xr:uid="{00000000-0005-0000-0000-000083A50000}"/>
    <cellStyle name="Note 5 3 2 2 2 2 2 2" xfId="42244" xr:uid="{00000000-0005-0000-0000-000084A50000}"/>
    <cellStyle name="Note 5 3 2 2 2 2 3" xfId="42245" xr:uid="{00000000-0005-0000-0000-000085A50000}"/>
    <cellStyle name="Note 5 3 2 2 2 3" xfId="42246" xr:uid="{00000000-0005-0000-0000-000086A50000}"/>
    <cellStyle name="Note 5 3 2 2 2 3 2" xfId="42247" xr:uid="{00000000-0005-0000-0000-000087A50000}"/>
    <cellStyle name="Note 5 3 2 2 2 4" xfId="42248" xr:uid="{00000000-0005-0000-0000-000088A50000}"/>
    <cellStyle name="Note 5 3 2 2 3" xfId="42249" xr:uid="{00000000-0005-0000-0000-000089A50000}"/>
    <cellStyle name="Note 5 3 2 2 3 2" xfId="42250" xr:uid="{00000000-0005-0000-0000-00008AA50000}"/>
    <cellStyle name="Note 5 3 2 2 3 2 2" xfId="42251" xr:uid="{00000000-0005-0000-0000-00008BA50000}"/>
    <cellStyle name="Note 5 3 2 2 3 3" xfId="42252" xr:uid="{00000000-0005-0000-0000-00008CA50000}"/>
    <cellStyle name="Note 5 3 2 2 4" xfId="42253" xr:uid="{00000000-0005-0000-0000-00008DA50000}"/>
    <cellStyle name="Note 5 3 2 2 4 2" xfId="42254" xr:uid="{00000000-0005-0000-0000-00008EA50000}"/>
    <cellStyle name="Note 5 3 2 2 5" xfId="42255" xr:uid="{00000000-0005-0000-0000-00008FA50000}"/>
    <cellStyle name="Note 5 3 2 3" xfId="42256" xr:uid="{00000000-0005-0000-0000-000090A50000}"/>
    <cellStyle name="Note 5 3 2 3 2" xfId="42257" xr:uid="{00000000-0005-0000-0000-000091A50000}"/>
    <cellStyle name="Note 5 3 2 3 2 2" xfId="42258" xr:uid="{00000000-0005-0000-0000-000092A50000}"/>
    <cellStyle name="Note 5 3 2 3 3" xfId="42259" xr:uid="{00000000-0005-0000-0000-000093A50000}"/>
    <cellStyle name="Note 5 3 2 4" xfId="42260" xr:uid="{00000000-0005-0000-0000-000094A50000}"/>
    <cellStyle name="Note 5 3 2 4 2" xfId="42261" xr:uid="{00000000-0005-0000-0000-000095A50000}"/>
    <cellStyle name="Note 5 3 2 4 2 2" xfId="42262" xr:uid="{00000000-0005-0000-0000-000096A50000}"/>
    <cellStyle name="Note 5 3 2 4 2 2 2" xfId="42263" xr:uid="{00000000-0005-0000-0000-000097A50000}"/>
    <cellStyle name="Note 5 3 2 4 2 3" xfId="42264" xr:uid="{00000000-0005-0000-0000-000098A50000}"/>
    <cellStyle name="Note 5 3 2 4 3" xfId="42265" xr:uid="{00000000-0005-0000-0000-000099A50000}"/>
    <cellStyle name="Note 5 3 2 4 3 2" xfId="42266" xr:uid="{00000000-0005-0000-0000-00009AA50000}"/>
    <cellStyle name="Note 5 3 2 4 4" xfId="42267" xr:uid="{00000000-0005-0000-0000-00009BA50000}"/>
    <cellStyle name="Note 5 3 2 5" xfId="42268" xr:uid="{00000000-0005-0000-0000-00009CA50000}"/>
    <cellStyle name="Note 5 3 2 5 2" xfId="42269" xr:uid="{00000000-0005-0000-0000-00009DA50000}"/>
    <cellStyle name="Note 5 3 2 5 2 2" xfId="42270" xr:uid="{00000000-0005-0000-0000-00009EA50000}"/>
    <cellStyle name="Note 5 3 2 5 3" xfId="42271" xr:uid="{00000000-0005-0000-0000-00009FA50000}"/>
    <cellStyle name="Note 5 3 2 6" xfId="42272" xr:uid="{00000000-0005-0000-0000-0000A0A50000}"/>
    <cellStyle name="Note 5 3 2 6 2" xfId="42273" xr:uid="{00000000-0005-0000-0000-0000A1A50000}"/>
    <cellStyle name="Note 5 3 2 7" xfId="42274" xr:uid="{00000000-0005-0000-0000-0000A2A50000}"/>
    <cellStyle name="Note 5 3 3" xfId="42275" xr:uid="{00000000-0005-0000-0000-0000A3A50000}"/>
    <cellStyle name="Note 5 3 3 2" xfId="42276" xr:uid="{00000000-0005-0000-0000-0000A4A50000}"/>
    <cellStyle name="Note 5 3 3 2 2" xfId="42277" xr:uid="{00000000-0005-0000-0000-0000A5A50000}"/>
    <cellStyle name="Note 5 3 3 2 2 2" xfId="42278" xr:uid="{00000000-0005-0000-0000-0000A6A50000}"/>
    <cellStyle name="Note 5 3 3 2 2 2 2" xfId="42279" xr:uid="{00000000-0005-0000-0000-0000A7A50000}"/>
    <cellStyle name="Note 5 3 3 2 2 2 2 2" xfId="42280" xr:uid="{00000000-0005-0000-0000-0000A8A50000}"/>
    <cellStyle name="Note 5 3 3 2 2 2 3" xfId="42281" xr:uid="{00000000-0005-0000-0000-0000A9A50000}"/>
    <cellStyle name="Note 5 3 3 2 2 3" xfId="42282" xr:uid="{00000000-0005-0000-0000-0000AAA50000}"/>
    <cellStyle name="Note 5 3 3 2 2 3 2" xfId="42283" xr:uid="{00000000-0005-0000-0000-0000ABA50000}"/>
    <cellStyle name="Note 5 3 3 2 2 4" xfId="42284" xr:uid="{00000000-0005-0000-0000-0000ACA50000}"/>
    <cellStyle name="Note 5 3 3 2 3" xfId="42285" xr:uid="{00000000-0005-0000-0000-0000ADA50000}"/>
    <cellStyle name="Note 5 3 3 2 3 2" xfId="42286" xr:uid="{00000000-0005-0000-0000-0000AEA50000}"/>
    <cellStyle name="Note 5 3 3 2 3 2 2" xfId="42287" xr:uid="{00000000-0005-0000-0000-0000AFA50000}"/>
    <cellStyle name="Note 5 3 3 2 3 3" xfId="42288" xr:uid="{00000000-0005-0000-0000-0000B0A50000}"/>
    <cellStyle name="Note 5 3 3 2 4" xfId="42289" xr:uid="{00000000-0005-0000-0000-0000B1A50000}"/>
    <cellStyle name="Note 5 3 3 2 4 2" xfId="42290" xr:uid="{00000000-0005-0000-0000-0000B2A50000}"/>
    <cellStyle name="Note 5 3 3 2 5" xfId="42291" xr:uid="{00000000-0005-0000-0000-0000B3A50000}"/>
    <cellStyle name="Note 5 3 3 3" xfId="42292" xr:uid="{00000000-0005-0000-0000-0000B4A50000}"/>
    <cellStyle name="Note 5 3 3 3 2" xfId="42293" xr:uid="{00000000-0005-0000-0000-0000B5A50000}"/>
    <cellStyle name="Note 5 3 3 3 2 2" xfId="42294" xr:uid="{00000000-0005-0000-0000-0000B6A50000}"/>
    <cellStyle name="Note 5 3 3 3 2 2 2" xfId="42295" xr:uid="{00000000-0005-0000-0000-0000B7A50000}"/>
    <cellStyle name="Note 5 3 3 3 2 3" xfId="42296" xr:uid="{00000000-0005-0000-0000-0000B8A50000}"/>
    <cellStyle name="Note 5 3 3 3 3" xfId="42297" xr:uid="{00000000-0005-0000-0000-0000B9A50000}"/>
    <cellStyle name="Note 5 3 3 3 3 2" xfId="42298" xr:uid="{00000000-0005-0000-0000-0000BAA50000}"/>
    <cellStyle name="Note 5 3 3 3 4" xfId="42299" xr:uid="{00000000-0005-0000-0000-0000BBA50000}"/>
    <cellStyle name="Note 5 3 3 4" xfId="42300" xr:uid="{00000000-0005-0000-0000-0000BCA50000}"/>
    <cellStyle name="Note 5 3 3 4 2" xfId="42301" xr:uid="{00000000-0005-0000-0000-0000BDA50000}"/>
    <cellStyle name="Note 5 3 3 4 2 2" xfId="42302" xr:uid="{00000000-0005-0000-0000-0000BEA50000}"/>
    <cellStyle name="Note 5 3 3 4 3" xfId="42303" xr:uid="{00000000-0005-0000-0000-0000BFA50000}"/>
    <cellStyle name="Note 5 3 3 5" xfId="42304" xr:uid="{00000000-0005-0000-0000-0000C0A50000}"/>
    <cellStyle name="Note 5 3 3 5 2" xfId="42305" xr:uid="{00000000-0005-0000-0000-0000C1A50000}"/>
    <cellStyle name="Note 5 3 3 6" xfId="42306" xr:uid="{00000000-0005-0000-0000-0000C2A50000}"/>
    <cellStyle name="Note 5 3 4" xfId="42307" xr:uid="{00000000-0005-0000-0000-0000C3A50000}"/>
    <cellStyle name="Note 5 3 4 2" xfId="42308" xr:uid="{00000000-0005-0000-0000-0000C4A50000}"/>
    <cellStyle name="Note 5 3 4 2 2" xfId="42309" xr:uid="{00000000-0005-0000-0000-0000C5A50000}"/>
    <cellStyle name="Note 5 3 4 3" xfId="42310" xr:uid="{00000000-0005-0000-0000-0000C6A50000}"/>
    <cellStyle name="Note 5 3 5" xfId="42311" xr:uid="{00000000-0005-0000-0000-0000C7A50000}"/>
    <cellStyle name="Note 5 3 5 2" xfId="42312" xr:uid="{00000000-0005-0000-0000-0000C8A50000}"/>
    <cellStyle name="Note 5 3 5 2 2" xfId="42313" xr:uid="{00000000-0005-0000-0000-0000C9A50000}"/>
    <cellStyle name="Note 5 3 5 3" xfId="42314" xr:uid="{00000000-0005-0000-0000-0000CAA50000}"/>
    <cellStyle name="Note 5 3 6" xfId="42315" xr:uid="{00000000-0005-0000-0000-0000CBA50000}"/>
    <cellStyle name="Note 5 3 6 2" xfId="42316" xr:uid="{00000000-0005-0000-0000-0000CCA50000}"/>
    <cellStyle name="Note 5 3 6 2 2" xfId="42317" xr:uid="{00000000-0005-0000-0000-0000CDA50000}"/>
    <cellStyle name="Note 5 3 6 2 2 2" xfId="42318" xr:uid="{00000000-0005-0000-0000-0000CEA50000}"/>
    <cellStyle name="Note 5 3 6 2 3" xfId="42319" xr:uid="{00000000-0005-0000-0000-0000CFA50000}"/>
    <cellStyle name="Note 5 3 6 3" xfId="42320" xr:uid="{00000000-0005-0000-0000-0000D0A50000}"/>
    <cellStyle name="Note 5 3 6 3 2" xfId="42321" xr:uid="{00000000-0005-0000-0000-0000D1A50000}"/>
    <cellStyle name="Note 5 3 6 4" xfId="42322" xr:uid="{00000000-0005-0000-0000-0000D2A50000}"/>
    <cellStyle name="Note 5 3 7" xfId="42323" xr:uid="{00000000-0005-0000-0000-0000D3A50000}"/>
    <cellStyle name="Note 5 3 7 2" xfId="42324" xr:uid="{00000000-0005-0000-0000-0000D4A50000}"/>
    <cellStyle name="Note 5 3 7 2 2" xfId="42325" xr:uid="{00000000-0005-0000-0000-0000D5A50000}"/>
    <cellStyle name="Note 5 3 7 3" xfId="42326" xr:uid="{00000000-0005-0000-0000-0000D6A50000}"/>
    <cellStyle name="Note 5 3 8" xfId="42327" xr:uid="{00000000-0005-0000-0000-0000D7A50000}"/>
    <cellStyle name="Note 5 3 8 2" xfId="42328" xr:uid="{00000000-0005-0000-0000-0000D8A50000}"/>
    <cellStyle name="Note 5 3 9" xfId="42329" xr:uid="{00000000-0005-0000-0000-0000D9A50000}"/>
    <cellStyle name="Note 5 4" xfId="42330" xr:uid="{00000000-0005-0000-0000-0000DAA50000}"/>
    <cellStyle name="Note 5 4 2" xfId="42331" xr:uid="{00000000-0005-0000-0000-0000DBA50000}"/>
    <cellStyle name="Note 5 4 2 2" xfId="42332" xr:uid="{00000000-0005-0000-0000-0000DCA50000}"/>
    <cellStyle name="Note 5 4 2 2 2" xfId="42333" xr:uid="{00000000-0005-0000-0000-0000DDA50000}"/>
    <cellStyle name="Note 5 4 2 2 2 2" xfId="42334" xr:uid="{00000000-0005-0000-0000-0000DEA50000}"/>
    <cellStyle name="Note 5 4 2 2 2 2 2" xfId="42335" xr:uid="{00000000-0005-0000-0000-0000DFA50000}"/>
    <cellStyle name="Note 5 4 2 2 2 3" xfId="42336" xr:uid="{00000000-0005-0000-0000-0000E0A50000}"/>
    <cellStyle name="Note 5 4 2 2 3" xfId="42337" xr:uid="{00000000-0005-0000-0000-0000E1A50000}"/>
    <cellStyle name="Note 5 4 2 2 3 2" xfId="42338" xr:uid="{00000000-0005-0000-0000-0000E2A50000}"/>
    <cellStyle name="Note 5 4 2 2 4" xfId="42339" xr:uid="{00000000-0005-0000-0000-0000E3A50000}"/>
    <cellStyle name="Note 5 4 2 3" xfId="42340" xr:uid="{00000000-0005-0000-0000-0000E4A50000}"/>
    <cellStyle name="Note 5 4 2 3 2" xfId="42341" xr:uid="{00000000-0005-0000-0000-0000E5A50000}"/>
    <cellStyle name="Note 5 4 2 3 2 2" xfId="42342" xr:uid="{00000000-0005-0000-0000-0000E6A50000}"/>
    <cellStyle name="Note 5 4 2 3 3" xfId="42343" xr:uid="{00000000-0005-0000-0000-0000E7A50000}"/>
    <cellStyle name="Note 5 4 2 4" xfId="42344" xr:uid="{00000000-0005-0000-0000-0000E8A50000}"/>
    <cellStyle name="Note 5 4 2 4 2" xfId="42345" xr:uid="{00000000-0005-0000-0000-0000E9A50000}"/>
    <cellStyle name="Note 5 4 2 5" xfId="42346" xr:uid="{00000000-0005-0000-0000-0000EAA50000}"/>
    <cellStyle name="Note 5 4 3" xfId="42347" xr:uid="{00000000-0005-0000-0000-0000EBA50000}"/>
    <cellStyle name="Note 5 4 3 2" xfId="42348" xr:uid="{00000000-0005-0000-0000-0000ECA50000}"/>
    <cellStyle name="Note 5 4 3 2 2" xfId="42349" xr:uid="{00000000-0005-0000-0000-0000EDA50000}"/>
    <cellStyle name="Note 5 4 3 2 2 2" xfId="42350" xr:uid="{00000000-0005-0000-0000-0000EEA50000}"/>
    <cellStyle name="Note 5 4 3 2 3" xfId="42351" xr:uid="{00000000-0005-0000-0000-0000EFA50000}"/>
    <cellStyle name="Note 5 4 3 3" xfId="42352" xr:uid="{00000000-0005-0000-0000-0000F0A50000}"/>
    <cellStyle name="Note 5 4 3 3 2" xfId="42353" xr:uid="{00000000-0005-0000-0000-0000F1A50000}"/>
    <cellStyle name="Note 5 4 3 4" xfId="42354" xr:uid="{00000000-0005-0000-0000-0000F2A50000}"/>
    <cellStyle name="Note 5 4 4" xfId="42355" xr:uid="{00000000-0005-0000-0000-0000F3A50000}"/>
    <cellStyle name="Note 5 4 4 2" xfId="42356" xr:uid="{00000000-0005-0000-0000-0000F4A50000}"/>
    <cellStyle name="Note 5 4 4 2 2" xfId="42357" xr:uid="{00000000-0005-0000-0000-0000F5A50000}"/>
    <cellStyle name="Note 5 4 4 3" xfId="42358" xr:uid="{00000000-0005-0000-0000-0000F6A50000}"/>
    <cellStyle name="Note 5 4 5" xfId="42359" xr:uid="{00000000-0005-0000-0000-0000F7A50000}"/>
    <cellStyle name="Note 5 4 5 2" xfId="42360" xr:uid="{00000000-0005-0000-0000-0000F8A50000}"/>
    <cellStyle name="Note 5 4 6" xfId="42361" xr:uid="{00000000-0005-0000-0000-0000F9A50000}"/>
    <cellStyle name="Note 5 5" xfId="42362" xr:uid="{00000000-0005-0000-0000-0000FAA50000}"/>
    <cellStyle name="Note 5 5 2" xfId="42363" xr:uid="{00000000-0005-0000-0000-0000FBA50000}"/>
    <cellStyle name="Note 5 5 2 2" xfId="42364" xr:uid="{00000000-0005-0000-0000-0000FCA50000}"/>
    <cellStyle name="Note 5 5 3" xfId="42365" xr:uid="{00000000-0005-0000-0000-0000FDA50000}"/>
    <cellStyle name="Note 5 6" xfId="42366" xr:uid="{00000000-0005-0000-0000-0000FEA50000}"/>
    <cellStyle name="Note 5 6 2" xfId="42367" xr:uid="{00000000-0005-0000-0000-0000FFA50000}"/>
    <cellStyle name="Note 5 6 2 2" xfId="42368" xr:uid="{00000000-0005-0000-0000-000000A60000}"/>
    <cellStyle name="Note 5 6 3" xfId="42369" xr:uid="{00000000-0005-0000-0000-000001A60000}"/>
    <cellStyle name="Note 5 7" xfId="42370" xr:uid="{00000000-0005-0000-0000-000002A60000}"/>
    <cellStyle name="Note 5 7 2" xfId="42371" xr:uid="{00000000-0005-0000-0000-000003A60000}"/>
    <cellStyle name="Note 5 7 2 2" xfId="42372" xr:uid="{00000000-0005-0000-0000-000004A60000}"/>
    <cellStyle name="Note 5 7 2 2 2" xfId="42373" xr:uid="{00000000-0005-0000-0000-000005A60000}"/>
    <cellStyle name="Note 5 7 2 3" xfId="42374" xr:uid="{00000000-0005-0000-0000-000006A60000}"/>
    <cellStyle name="Note 5 7 3" xfId="42375" xr:uid="{00000000-0005-0000-0000-000007A60000}"/>
    <cellStyle name="Note 5 7 3 2" xfId="42376" xr:uid="{00000000-0005-0000-0000-000008A60000}"/>
    <cellStyle name="Note 5 7 4" xfId="42377" xr:uid="{00000000-0005-0000-0000-000009A60000}"/>
    <cellStyle name="Note 5 8" xfId="42378" xr:uid="{00000000-0005-0000-0000-00000AA60000}"/>
    <cellStyle name="Note 5 8 2" xfId="42379" xr:uid="{00000000-0005-0000-0000-00000BA60000}"/>
    <cellStyle name="Note 5 8 2 2" xfId="42380" xr:uid="{00000000-0005-0000-0000-00000CA60000}"/>
    <cellStyle name="Note 5 8 3" xfId="42381" xr:uid="{00000000-0005-0000-0000-00000DA60000}"/>
    <cellStyle name="Note 5 9" xfId="42382" xr:uid="{00000000-0005-0000-0000-00000EA60000}"/>
    <cellStyle name="Note 5 9 2" xfId="42383" xr:uid="{00000000-0005-0000-0000-00000FA60000}"/>
    <cellStyle name="Note 6" xfId="42384" xr:uid="{00000000-0005-0000-0000-000010A60000}"/>
    <cellStyle name="Note 6 2" xfId="42385" xr:uid="{00000000-0005-0000-0000-000011A60000}"/>
    <cellStyle name="Note 6 2 2" xfId="42386" xr:uid="{00000000-0005-0000-0000-000012A60000}"/>
    <cellStyle name="Note 6 2 2 2" xfId="42387" xr:uid="{00000000-0005-0000-0000-000013A60000}"/>
    <cellStyle name="Note 6 2 2 2 2" xfId="42388" xr:uid="{00000000-0005-0000-0000-000014A60000}"/>
    <cellStyle name="Note 6 2 2 2 2 2" xfId="42389" xr:uid="{00000000-0005-0000-0000-000015A60000}"/>
    <cellStyle name="Note 6 2 2 2 2 2 2" xfId="42390" xr:uid="{00000000-0005-0000-0000-000016A60000}"/>
    <cellStyle name="Note 6 2 2 2 2 3" xfId="42391" xr:uid="{00000000-0005-0000-0000-000017A60000}"/>
    <cellStyle name="Note 6 2 2 2 3" xfId="42392" xr:uid="{00000000-0005-0000-0000-000018A60000}"/>
    <cellStyle name="Note 6 2 2 2 3 2" xfId="42393" xr:uid="{00000000-0005-0000-0000-000019A60000}"/>
    <cellStyle name="Note 6 2 2 2 4" xfId="42394" xr:uid="{00000000-0005-0000-0000-00001AA60000}"/>
    <cellStyle name="Note 6 2 2 3" xfId="42395" xr:uid="{00000000-0005-0000-0000-00001BA60000}"/>
    <cellStyle name="Note 6 2 2 3 2" xfId="42396" xr:uid="{00000000-0005-0000-0000-00001CA60000}"/>
    <cellStyle name="Note 6 2 2 3 2 2" xfId="42397" xr:uid="{00000000-0005-0000-0000-00001DA60000}"/>
    <cellStyle name="Note 6 2 2 3 3" xfId="42398" xr:uid="{00000000-0005-0000-0000-00001EA60000}"/>
    <cellStyle name="Note 6 2 2 4" xfId="42399" xr:uid="{00000000-0005-0000-0000-00001FA60000}"/>
    <cellStyle name="Note 6 2 2 4 2" xfId="42400" xr:uid="{00000000-0005-0000-0000-000020A60000}"/>
    <cellStyle name="Note 6 2 2 5" xfId="42401" xr:uid="{00000000-0005-0000-0000-000021A60000}"/>
    <cellStyle name="Note 6 2 3" xfId="42402" xr:uid="{00000000-0005-0000-0000-000022A60000}"/>
    <cellStyle name="Note 6 2 3 2" xfId="42403" xr:uid="{00000000-0005-0000-0000-000023A60000}"/>
    <cellStyle name="Note 6 2 3 2 2" xfId="42404" xr:uid="{00000000-0005-0000-0000-000024A60000}"/>
    <cellStyle name="Note 6 2 3 3" xfId="42405" xr:uid="{00000000-0005-0000-0000-000025A60000}"/>
    <cellStyle name="Note 6 2 4" xfId="42406" xr:uid="{00000000-0005-0000-0000-000026A60000}"/>
    <cellStyle name="Note 6 2 4 2" xfId="42407" xr:uid="{00000000-0005-0000-0000-000027A60000}"/>
    <cellStyle name="Note 6 2 4 2 2" xfId="42408" xr:uid="{00000000-0005-0000-0000-000028A60000}"/>
    <cellStyle name="Note 6 2 4 3" xfId="42409" xr:uid="{00000000-0005-0000-0000-000029A60000}"/>
    <cellStyle name="Note 6 2 5" xfId="42410" xr:uid="{00000000-0005-0000-0000-00002AA60000}"/>
    <cellStyle name="Note 6 2 5 2" xfId="42411" xr:uid="{00000000-0005-0000-0000-00002BA60000}"/>
    <cellStyle name="Note 6 2 5 2 2" xfId="42412" xr:uid="{00000000-0005-0000-0000-00002CA60000}"/>
    <cellStyle name="Note 6 2 5 2 2 2" xfId="42413" xr:uid="{00000000-0005-0000-0000-00002DA60000}"/>
    <cellStyle name="Note 6 2 5 2 3" xfId="42414" xr:uid="{00000000-0005-0000-0000-00002EA60000}"/>
    <cellStyle name="Note 6 2 5 3" xfId="42415" xr:uid="{00000000-0005-0000-0000-00002FA60000}"/>
    <cellStyle name="Note 6 2 5 3 2" xfId="42416" xr:uid="{00000000-0005-0000-0000-000030A60000}"/>
    <cellStyle name="Note 6 2 5 4" xfId="42417" xr:uid="{00000000-0005-0000-0000-000031A60000}"/>
    <cellStyle name="Note 6 2 6" xfId="42418" xr:uid="{00000000-0005-0000-0000-000032A60000}"/>
    <cellStyle name="Note 6 2 6 2" xfId="42419" xr:uid="{00000000-0005-0000-0000-000033A60000}"/>
    <cellStyle name="Note 6 2 6 2 2" xfId="42420" xr:uid="{00000000-0005-0000-0000-000034A60000}"/>
    <cellStyle name="Note 6 2 6 3" xfId="42421" xr:uid="{00000000-0005-0000-0000-000035A60000}"/>
    <cellStyle name="Note 6 2 7" xfId="42422" xr:uid="{00000000-0005-0000-0000-000036A60000}"/>
    <cellStyle name="Note 6 2 7 2" xfId="42423" xr:uid="{00000000-0005-0000-0000-000037A60000}"/>
    <cellStyle name="Note 6 2 8" xfId="42424" xr:uid="{00000000-0005-0000-0000-000038A60000}"/>
    <cellStyle name="Note 6 3" xfId="42425" xr:uid="{00000000-0005-0000-0000-000039A60000}"/>
    <cellStyle name="Note 6 3 2" xfId="42426" xr:uid="{00000000-0005-0000-0000-00003AA60000}"/>
    <cellStyle name="Note 6 3 2 2" xfId="42427" xr:uid="{00000000-0005-0000-0000-00003BA60000}"/>
    <cellStyle name="Note 6 3 2 2 2" xfId="42428" xr:uid="{00000000-0005-0000-0000-00003CA60000}"/>
    <cellStyle name="Note 6 3 2 2 2 2" xfId="42429" xr:uid="{00000000-0005-0000-0000-00003DA60000}"/>
    <cellStyle name="Note 6 3 2 2 2 2 2" xfId="42430" xr:uid="{00000000-0005-0000-0000-00003EA60000}"/>
    <cellStyle name="Note 6 3 2 2 2 3" xfId="42431" xr:uid="{00000000-0005-0000-0000-00003FA60000}"/>
    <cellStyle name="Note 6 3 2 2 3" xfId="42432" xr:uid="{00000000-0005-0000-0000-000040A60000}"/>
    <cellStyle name="Note 6 3 2 2 3 2" xfId="42433" xr:uid="{00000000-0005-0000-0000-000041A60000}"/>
    <cellStyle name="Note 6 3 2 2 4" xfId="42434" xr:uid="{00000000-0005-0000-0000-000042A60000}"/>
    <cellStyle name="Note 6 3 2 3" xfId="42435" xr:uid="{00000000-0005-0000-0000-000043A60000}"/>
    <cellStyle name="Note 6 3 2 3 2" xfId="42436" xr:uid="{00000000-0005-0000-0000-000044A60000}"/>
    <cellStyle name="Note 6 3 2 3 2 2" xfId="42437" xr:uid="{00000000-0005-0000-0000-000045A60000}"/>
    <cellStyle name="Note 6 3 2 3 3" xfId="42438" xr:uid="{00000000-0005-0000-0000-000046A60000}"/>
    <cellStyle name="Note 6 3 2 4" xfId="42439" xr:uid="{00000000-0005-0000-0000-000047A60000}"/>
    <cellStyle name="Note 6 3 2 4 2" xfId="42440" xr:uid="{00000000-0005-0000-0000-000048A60000}"/>
    <cellStyle name="Note 6 3 2 5" xfId="42441" xr:uid="{00000000-0005-0000-0000-000049A60000}"/>
    <cellStyle name="Note 6 3 3" xfId="42442" xr:uid="{00000000-0005-0000-0000-00004AA60000}"/>
    <cellStyle name="Note 6 3 3 2" xfId="42443" xr:uid="{00000000-0005-0000-0000-00004BA60000}"/>
    <cellStyle name="Note 6 3 3 2 2" xfId="42444" xr:uid="{00000000-0005-0000-0000-00004CA60000}"/>
    <cellStyle name="Note 6 3 3 2 2 2" xfId="42445" xr:uid="{00000000-0005-0000-0000-00004DA60000}"/>
    <cellStyle name="Note 6 3 3 2 3" xfId="42446" xr:uid="{00000000-0005-0000-0000-00004EA60000}"/>
    <cellStyle name="Note 6 3 3 3" xfId="42447" xr:uid="{00000000-0005-0000-0000-00004FA60000}"/>
    <cellStyle name="Note 6 3 3 3 2" xfId="42448" xr:uid="{00000000-0005-0000-0000-000050A60000}"/>
    <cellStyle name="Note 6 3 3 4" xfId="42449" xr:uid="{00000000-0005-0000-0000-000051A60000}"/>
    <cellStyle name="Note 6 3 4" xfId="42450" xr:uid="{00000000-0005-0000-0000-000052A60000}"/>
    <cellStyle name="Note 6 3 4 2" xfId="42451" xr:uid="{00000000-0005-0000-0000-000053A60000}"/>
    <cellStyle name="Note 6 3 4 2 2" xfId="42452" xr:uid="{00000000-0005-0000-0000-000054A60000}"/>
    <cellStyle name="Note 6 3 4 3" xfId="42453" xr:uid="{00000000-0005-0000-0000-000055A60000}"/>
    <cellStyle name="Note 6 3 5" xfId="42454" xr:uid="{00000000-0005-0000-0000-000056A60000}"/>
    <cellStyle name="Note 6 3 5 2" xfId="42455" xr:uid="{00000000-0005-0000-0000-000057A60000}"/>
    <cellStyle name="Note 6 3 6" xfId="42456" xr:uid="{00000000-0005-0000-0000-000058A60000}"/>
    <cellStyle name="Note 6 4" xfId="42457" xr:uid="{00000000-0005-0000-0000-000059A60000}"/>
    <cellStyle name="Note 6 4 2" xfId="42458" xr:uid="{00000000-0005-0000-0000-00005AA60000}"/>
    <cellStyle name="Note 6 4 2 2" xfId="42459" xr:uid="{00000000-0005-0000-0000-00005BA60000}"/>
    <cellStyle name="Note 6 4 3" xfId="42460" xr:uid="{00000000-0005-0000-0000-00005CA60000}"/>
    <cellStyle name="Note 6 5" xfId="42461" xr:uid="{00000000-0005-0000-0000-00005DA60000}"/>
    <cellStyle name="Note 6 5 2" xfId="42462" xr:uid="{00000000-0005-0000-0000-00005EA60000}"/>
    <cellStyle name="Note 6 5 2 2" xfId="42463" xr:uid="{00000000-0005-0000-0000-00005FA60000}"/>
    <cellStyle name="Note 6 5 3" xfId="42464" xr:uid="{00000000-0005-0000-0000-000060A60000}"/>
    <cellStyle name="Note 6 6" xfId="42465" xr:uid="{00000000-0005-0000-0000-000061A60000}"/>
    <cellStyle name="Note 6 6 2" xfId="42466" xr:uid="{00000000-0005-0000-0000-000062A60000}"/>
    <cellStyle name="Note 6 6 2 2" xfId="42467" xr:uid="{00000000-0005-0000-0000-000063A60000}"/>
    <cellStyle name="Note 6 6 2 2 2" xfId="42468" xr:uid="{00000000-0005-0000-0000-000064A60000}"/>
    <cellStyle name="Note 6 6 2 3" xfId="42469" xr:uid="{00000000-0005-0000-0000-000065A60000}"/>
    <cellStyle name="Note 6 6 3" xfId="42470" xr:uid="{00000000-0005-0000-0000-000066A60000}"/>
    <cellStyle name="Note 6 6 3 2" xfId="42471" xr:uid="{00000000-0005-0000-0000-000067A60000}"/>
    <cellStyle name="Note 6 6 4" xfId="42472" xr:uid="{00000000-0005-0000-0000-000068A60000}"/>
    <cellStyle name="Note 6 7" xfId="42473" xr:uid="{00000000-0005-0000-0000-000069A60000}"/>
    <cellStyle name="Note 6 7 2" xfId="42474" xr:uid="{00000000-0005-0000-0000-00006AA60000}"/>
    <cellStyle name="Note 6 7 2 2" xfId="42475" xr:uid="{00000000-0005-0000-0000-00006BA60000}"/>
    <cellStyle name="Note 6 7 3" xfId="42476" xr:uid="{00000000-0005-0000-0000-00006CA60000}"/>
    <cellStyle name="Note 6 8" xfId="42477" xr:uid="{00000000-0005-0000-0000-00006DA60000}"/>
    <cellStyle name="Note 6 8 2" xfId="42478" xr:uid="{00000000-0005-0000-0000-00006EA60000}"/>
    <cellStyle name="Note 6 9" xfId="42479" xr:uid="{00000000-0005-0000-0000-00006FA60000}"/>
    <cellStyle name="Note 7" xfId="42480" xr:uid="{00000000-0005-0000-0000-000070A60000}"/>
    <cellStyle name="Note 7 2" xfId="42481" xr:uid="{00000000-0005-0000-0000-000071A60000}"/>
    <cellStyle name="Note 7 2 2" xfId="42482" xr:uid="{00000000-0005-0000-0000-000072A60000}"/>
    <cellStyle name="Note 7 2 2 2" xfId="42483" xr:uid="{00000000-0005-0000-0000-000073A60000}"/>
    <cellStyle name="Note 7 2 2 2 2" xfId="42484" xr:uid="{00000000-0005-0000-0000-000074A60000}"/>
    <cellStyle name="Note 7 2 2 2 2 2" xfId="42485" xr:uid="{00000000-0005-0000-0000-000075A60000}"/>
    <cellStyle name="Note 7 2 2 2 3" xfId="42486" xr:uid="{00000000-0005-0000-0000-000076A60000}"/>
    <cellStyle name="Note 7 2 2 3" xfId="42487" xr:uid="{00000000-0005-0000-0000-000077A60000}"/>
    <cellStyle name="Note 7 2 2 3 2" xfId="42488" xr:uid="{00000000-0005-0000-0000-000078A60000}"/>
    <cellStyle name="Note 7 2 2 4" xfId="42489" xr:uid="{00000000-0005-0000-0000-000079A60000}"/>
    <cellStyle name="Note 7 2 3" xfId="42490" xr:uid="{00000000-0005-0000-0000-00007AA60000}"/>
    <cellStyle name="Note 7 2 3 2" xfId="42491" xr:uid="{00000000-0005-0000-0000-00007BA60000}"/>
    <cellStyle name="Note 7 2 3 2 2" xfId="42492" xr:uid="{00000000-0005-0000-0000-00007CA60000}"/>
    <cellStyle name="Note 7 2 3 3" xfId="42493" xr:uid="{00000000-0005-0000-0000-00007DA60000}"/>
    <cellStyle name="Note 7 2 4" xfId="42494" xr:uid="{00000000-0005-0000-0000-00007EA60000}"/>
    <cellStyle name="Note 7 2 4 2" xfId="42495" xr:uid="{00000000-0005-0000-0000-00007FA60000}"/>
    <cellStyle name="Note 7 2 5" xfId="42496" xr:uid="{00000000-0005-0000-0000-000080A60000}"/>
    <cellStyle name="Note 7 3" xfId="42497" xr:uid="{00000000-0005-0000-0000-000081A60000}"/>
    <cellStyle name="Note 7 3 2" xfId="42498" xr:uid="{00000000-0005-0000-0000-000082A60000}"/>
    <cellStyle name="Note 7 3 2 2" xfId="42499" xr:uid="{00000000-0005-0000-0000-000083A60000}"/>
    <cellStyle name="Note 7 3 3" xfId="42500" xr:uid="{00000000-0005-0000-0000-000084A60000}"/>
    <cellStyle name="Note 7 4" xfId="42501" xr:uid="{00000000-0005-0000-0000-000085A60000}"/>
    <cellStyle name="Note 7 4 2" xfId="42502" xr:uid="{00000000-0005-0000-0000-000086A60000}"/>
    <cellStyle name="Note 7 4 2 2" xfId="42503" xr:uid="{00000000-0005-0000-0000-000087A60000}"/>
    <cellStyle name="Note 7 4 2 2 2" xfId="42504" xr:uid="{00000000-0005-0000-0000-000088A60000}"/>
    <cellStyle name="Note 7 4 2 3" xfId="42505" xr:uid="{00000000-0005-0000-0000-000089A60000}"/>
    <cellStyle name="Note 7 4 3" xfId="42506" xr:uid="{00000000-0005-0000-0000-00008AA60000}"/>
    <cellStyle name="Note 7 4 3 2" xfId="42507" xr:uid="{00000000-0005-0000-0000-00008BA60000}"/>
    <cellStyle name="Note 7 4 4" xfId="42508" xr:uid="{00000000-0005-0000-0000-00008CA60000}"/>
    <cellStyle name="Note 7 5" xfId="42509" xr:uid="{00000000-0005-0000-0000-00008DA60000}"/>
    <cellStyle name="Note 7 5 2" xfId="42510" xr:uid="{00000000-0005-0000-0000-00008EA60000}"/>
    <cellStyle name="Note 7 5 2 2" xfId="42511" xr:uid="{00000000-0005-0000-0000-00008FA60000}"/>
    <cellStyle name="Note 7 5 3" xfId="42512" xr:uid="{00000000-0005-0000-0000-000090A60000}"/>
    <cellStyle name="Note 7 6" xfId="42513" xr:uid="{00000000-0005-0000-0000-000091A60000}"/>
    <cellStyle name="Note 7 6 2" xfId="42514" xr:uid="{00000000-0005-0000-0000-000092A60000}"/>
    <cellStyle name="Note 7 7" xfId="42515" xr:uid="{00000000-0005-0000-0000-000093A60000}"/>
    <cellStyle name="Note 8" xfId="42516" xr:uid="{00000000-0005-0000-0000-000094A60000}"/>
    <cellStyle name="Note 8 2" xfId="42517" xr:uid="{00000000-0005-0000-0000-000095A60000}"/>
    <cellStyle name="Note 8 2 2" xfId="42518" xr:uid="{00000000-0005-0000-0000-000096A60000}"/>
    <cellStyle name="Note 8 2 2 2" xfId="42519" xr:uid="{00000000-0005-0000-0000-000097A60000}"/>
    <cellStyle name="Note 8 2 2 2 2" xfId="42520" xr:uid="{00000000-0005-0000-0000-000098A60000}"/>
    <cellStyle name="Note 8 2 2 2 2 2" xfId="42521" xr:uid="{00000000-0005-0000-0000-000099A60000}"/>
    <cellStyle name="Note 8 2 2 2 2 2 2" xfId="42522" xr:uid="{00000000-0005-0000-0000-00009AA60000}"/>
    <cellStyle name="Note 8 2 2 2 2 3" xfId="42523" xr:uid="{00000000-0005-0000-0000-00009BA60000}"/>
    <cellStyle name="Note 8 2 2 2 3" xfId="42524" xr:uid="{00000000-0005-0000-0000-00009CA60000}"/>
    <cellStyle name="Note 8 2 2 2 3 2" xfId="42525" xr:uid="{00000000-0005-0000-0000-00009DA60000}"/>
    <cellStyle name="Note 8 2 2 2 4" xfId="42526" xr:uid="{00000000-0005-0000-0000-00009EA60000}"/>
    <cellStyle name="Note 8 2 2 3" xfId="42527" xr:uid="{00000000-0005-0000-0000-00009FA60000}"/>
    <cellStyle name="Note 8 2 2 3 2" xfId="42528" xr:uid="{00000000-0005-0000-0000-0000A0A60000}"/>
    <cellStyle name="Note 8 2 2 3 2 2" xfId="42529" xr:uid="{00000000-0005-0000-0000-0000A1A60000}"/>
    <cellStyle name="Note 8 2 2 3 3" xfId="42530" xr:uid="{00000000-0005-0000-0000-0000A2A60000}"/>
    <cellStyle name="Note 8 2 2 4" xfId="42531" xr:uid="{00000000-0005-0000-0000-0000A3A60000}"/>
    <cellStyle name="Note 8 2 2 4 2" xfId="42532" xr:uid="{00000000-0005-0000-0000-0000A4A60000}"/>
    <cellStyle name="Note 8 2 2 5" xfId="42533" xr:uid="{00000000-0005-0000-0000-0000A5A60000}"/>
    <cellStyle name="Note 8 2 3" xfId="42534" xr:uid="{00000000-0005-0000-0000-0000A6A60000}"/>
    <cellStyle name="Note 8 2 3 2" xfId="42535" xr:uid="{00000000-0005-0000-0000-0000A7A60000}"/>
    <cellStyle name="Note 8 2 3 2 2" xfId="42536" xr:uid="{00000000-0005-0000-0000-0000A8A60000}"/>
    <cellStyle name="Note 8 2 3 2 2 2" xfId="42537" xr:uid="{00000000-0005-0000-0000-0000A9A60000}"/>
    <cellStyle name="Note 8 2 3 2 3" xfId="42538" xr:uid="{00000000-0005-0000-0000-0000AAA60000}"/>
    <cellStyle name="Note 8 2 3 3" xfId="42539" xr:uid="{00000000-0005-0000-0000-0000ABA60000}"/>
    <cellStyle name="Note 8 2 3 3 2" xfId="42540" xr:uid="{00000000-0005-0000-0000-0000ACA60000}"/>
    <cellStyle name="Note 8 2 3 4" xfId="42541" xr:uid="{00000000-0005-0000-0000-0000ADA60000}"/>
    <cellStyle name="Note 8 2 4" xfId="42542" xr:uid="{00000000-0005-0000-0000-0000AEA60000}"/>
    <cellStyle name="Note 8 2 4 2" xfId="42543" xr:uid="{00000000-0005-0000-0000-0000AFA60000}"/>
    <cellStyle name="Note 8 2 4 2 2" xfId="42544" xr:uid="{00000000-0005-0000-0000-0000B0A60000}"/>
    <cellStyle name="Note 8 2 4 3" xfId="42545" xr:uid="{00000000-0005-0000-0000-0000B1A60000}"/>
    <cellStyle name="Note 8 2 5" xfId="42546" xr:uid="{00000000-0005-0000-0000-0000B2A60000}"/>
    <cellStyle name="Note 8 2 5 2" xfId="42547" xr:uid="{00000000-0005-0000-0000-0000B3A60000}"/>
    <cellStyle name="Note 8 2 6" xfId="42548" xr:uid="{00000000-0005-0000-0000-0000B4A60000}"/>
    <cellStyle name="Note 8 3" xfId="42549" xr:uid="{00000000-0005-0000-0000-0000B5A60000}"/>
    <cellStyle name="Note 8 3 2" xfId="42550" xr:uid="{00000000-0005-0000-0000-0000B6A60000}"/>
    <cellStyle name="Note 8 3 2 2" xfId="42551" xr:uid="{00000000-0005-0000-0000-0000B7A60000}"/>
    <cellStyle name="Note 8 3 2 2 2" xfId="42552" xr:uid="{00000000-0005-0000-0000-0000B8A60000}"/>
    <cellStyle name="Note 8 3 2 2 2 2" xfId="42553" xr:uid="{00000000-0005-0000-0000-0000B9A60000}"/>
    <cellStyle name="Note 8 3 2 2 2 2 2" xfId="42554" xr:uid="{00000000-0005-0000-0000-0000BAA60000}"/>
    <cellStyle name="Note 8 3 2 2 2 2 2 2" xfId="42555" xr:uid="{00000000-0005-0000-0000-0000BBA60000}"/>
    <cellStyle name="Note 8 3 2 2 2 2 3" xfId="42556" xr:uid="{00000000-0005-0000-0000-0000BCA60000}"/>
    <cellStyle name="Note 8 3 2 2 2 3" xfId="42557" xr:uid="{00000000-0005-0000-0000-0000BDA60000}"/>
    <cellStyle name="Note 8 3 2 2 2 3 2" xfId="42558" xr:uid="{00000000-0005-0000-0000-0000BEA60000}"/>
    <cellStyle name="Note 8 3 2 2 2 4" xfId="42559" xr:uid="{00000000-0005-0000-0000-0000BFA60000}"/>
    <cellStyle name="Note 8 3 2 2 3" xfId="42560" xr:uid="{00000000-0005-0000-0000-0000C0A60000}"/>
    <cellStyle name="Note 8 3 2 2 3 2" xfId="42561" xr:uid="{00000000-0005-0000-0000-0000C1A60000}"/>
    <cellStyle name="Note 8 3 2 2 3 2 2" xfId="42562" xr:uid="{00000000-0005-0000-0000-0000C2A60000}"/>
    <cellStyle name="Note 8 3 2 2 3 3" xfId="42563" xr:uid="{00000000-0005-0000-0000-0000C3A60000}"/>
    <cellStyle name="Note 8 3 2 2 4" xfId="42564" xr:uid="{00000000-0005-0000-0000-0000C4A60000}"/>
    <cellStyle name="Note 8 3 2 2 4 2" xfId="42565" xr:uid="{00000000-0005-0000-0000-0000C5A60000}"/>
    <cellStyle name="Note 8 3 2 2 5" xfId="42566" xr:uid="{00000000-0005-0000-0000-0000C6A60000}"/>
    <cellStyle name="Note 8 3 2 3" xfId="42567" xr:uid="{00000000-0005-0000-0000-0000C7A60000}"/>
    <cellStyle name="Note 8 3 2 3 2" xfId="42568" xr:uid="{00000000-0005-0000-0000-0000C8A60000}"/>
    <cellStyle name="Note 8 3 2 3 2 2" xfId="42569" xr:uid="{00000000-0005-0000-0000-0000C9A60000}"/>
    <cellStyle name="Note 8 3 2 3 2 2 2" xfId="42570" xr:uid="{00000000-0005-0000-0000-0000CAA60000}"/>
    <cellStyle name="Note 8 3 2 3 2 3" xfId="42571" xr:uid="{00000000-0005-0000-0000-0000CBA60000}"/>
    <cellStyle name="Note 8 3 2 3 3" xfId="42572" xr:uid="{00000000-0005-0000-0000-0000CCA60000}"/>
    <cellStyle name="Note 8 3 2 3 3 2" xfId="42573" xr:uid="{00000000-0005-0000-0000-0000CDA60000}"/>
    <cellStyle name="Note 8 3 2 3 4" xfId="42574" xr:uid="{00000000-0005-0000-0000-0000CEA60000}"/>
    <cellStyle name="Note 8 3 2 4" xfId="42575" xr:uid="{00000000-0005-0000-0000-0000CFA60000}"/>
    <cellStyle name="Note 8 3 2 4 2" xfId="42576" xr:uid="{00000000-0005-0000-0000-0000D0A60000}"/>
    <cellStyle name="Note 8 3 2 4 2 2" xfId="42577" xr:uid="{00000000-0005-0000-0000-0000D1A60000}"/>
    <cellStyle name="Note 8 3 2 4 3" xfId="42578" xr:uid="{00000000-0005-0000-0000-0000D2A60000}"/>
    <cellStyle name="Note 8 3 2 5" xfId="42579" xr:uid="{00000000-0005-0000-0000-0000D3A60000}"/>
    <cellStyle name="Note 8 3 2 5 2" xfId="42580" xr:uid="{00000000-0005-0000-0000-0000D4A60000}"/>
    <cellStyle name="Note 8 3 2 6" xfId="42581" xr:uid="{00000000-0005-0000-0000-0000D5A60000}"/>
    <cellStyle name="Note 8 3 3" xfId="42582" xr:uid="{00000000-0005-0000-0000-0000D6A60000}"/>
    <cellStyle name="Note 8 3 3 2" xfId="42583" xr:uid="{00000000-0005-0000-0000-0000D7A60000}"/>
    <cellStyle name="Note 8 3 3 2 2" xfId="42584" xr:uid="{00000000-0005-0000-0000-0000D8A60000}"/>
    <cellStyle name="Note 8 3 3 2 2 2" xfId="42585" xr:uid="{00000000-0005-0000-0000-0000D9A60000}"/>
    <cellStyle name="Note 8 3 3 2 2 2 2" xfId="42586" xr:uid="{00000000-0005-0000-0000-0000DAA60000}"/>
    <cellStyle name="Note 8 3 3 2 2 3" xfId="42587" xr:uid="{00000000-0005-0000-0000-0000DBA60000}"/>
    <cellStyle name="Note 8 3 3 2 3" xfId="42588" xr:uid="{00000000-0005-0000-0000-0000DCA60000}"/>
    <cellStyle name="Note 8 3 3 2 3 2" xfId="42589" xr:uid="{00000000-0005-0000-0000-0000DDA60000}"/>
    <cellStyle name="Note 8 3 3 2 4" xfId="42590" xr:uid="{00000000-0005-0000-0000-0000DEA60000}"/>
    <cellStyle name="Note 8 3 3 3" xfId="42591" xr:uid="{00000000-0005-0000-0000-0000DFA60000}"/>
    <cellStyle name="Note 8 3 3 3 2" xfId="42592" xr:uid="{00000000-0005-0000-0000-0000E0A60000}"/>
    <cellStyle name="Note 8 3 3 3 2 2" xfId="42593" xr:uid="{00000000-0005-0000-0000-0000E1A60000}"/>
    <cellStyle name="Note 8 3 3 3 3" xfId="42594" xr:uid="{00000000-0005-0000-0000-0000E2A60000}"/>
    <cellStyle name="Note 8 3 3 4" xfId="42595" xr:uid="{00000000-0005-0000-0000-0000E3A60000}"/>
    <cellStyle name="Note 8 3 3 4 2" xfId="42596" xr:uid="{00000000-0005-0000-0000-0000E4A60000}"/>
    <cellStyle name="Note 8 3 3 5" xfId="42597" xr:uid="{00000000-0005-0000-0000-0000E5A60000}"/>
    <cellStyle name="Note 8 3 4" xfId="42598" xr:uid="{00000000-0005-0000-0000-0000E6A60000}"/>
    <cellStyle name="Note 8 3 4 2" xfId="42599" xr:uid="{00000000-0005-0000-0000-0000E7A60000}"/>
    <cellStyle name="Note 8 3 4 2 2" xfId="42600" xr:uid="{00000000-0005-0000-0000-0000E8A60000}"/>
    <cellStyle name="Note 8 3 4 2 2 2" xfId="42601" xr:uid="{00000000-0005-0000-0000-0000E9A60000}"/>
    <cellStyle name="Note 8 3 4 2 3" xfId="42602" xr:uid="{00000000-0005-0000-0000-0000EAA60000}"/>
    <cellStyle name="Note 8 3 4 3" xfId="42603" xr:uid="{00000000-0005-0000-0000-0000EBA60000}"/>
    <cellStyle name="Note 8 3 4 3 2" xfId="42604" xr:uid="{00000000-0005-0000-0000-0000ECA60000}"/>
    <cellStyle name="Note 8 3 4 4" xfId="42605" xr:uid="{00000000-0005-0000-0000-0000EDA60000}"/>
    <cellStyle name="Note 8 3 5" xfId="42606" xr:uid="{00000000-0005-0000-0000-0000EEA60000}"/>
    <cellStyle name="Note 8 3 5 2" xfId="42607" xr:uid="{00000000-0005-0000-0000-0000EFA60000}"/>
    <cellStyle name="Note 8 3 5 2 2" xfId="42608" xr:uid="{00000000-0005-0000-0000-0000F0A60000}"/>
    <cellStyle name="Note 8 3 5 3" xfId="42609" xr:uid="{00000000-0005-0000-0000-0000F1A60000}"/>
    <cellStyle name="Note 8 3 6" xfId="42610" xr:uid="{00000000-0005-0000-0000-0000F2A60000}"/>
    <cellStyle name="Note 8 3 6 2" xfId="42611" xr:uid="{00000000-0005-0000-0000-0000F3A60000}"/>
    <cellStyle name="Note 8 3 7" xfId="42612" xr:uid="{00000000-0005-0000-0000-0000F4A60000}"/>
    <cellStyle name="Note 8 4" xfId="42613" xr:uid="{00000000-0005-0000-0000-0000F5A60000}"/>
    <cellStyle name="Note 8 4 2" xfId="42614" xr:uid="{00000000-0005-0000-0000-0000F6A60000}"/>
    <cellStyle name="Note 8 4 2 2" xfId="42615" xr:uid="{00000000-0005-0000-0000-0000F7A60000}"/>
    <cellStyle name="Note 8 4 3" xfId="42616" xr:uid="{00000000-0005-0000-0000-0000F8A60000}"/>
    <cellStyle name="Note 8 5" xfId="42617" xr:uid="{00000000-0005-0000-0000-0000F9A60000}"/>
    <cellStyle name="Note 8 5 2" xfId="42618" xr:uid="{00000000-0005-0000-0000-0000FAA60000}"/>
    <cellStyle name="Note 8 5 2 2" xfId="42619" xr:uid="{00000000-0005-0000-0000-0000FBA60000}"/>
    <cellStyle name="Note 8 5 2 2 2" xfId="42620" xr:uid="{00000000-0005-0000-0000-0000FCA60000}"/>
    <cellStyle name="Note 8 5 2 2 2 2" xfId="42621" xr:uid="{00000000-0005-0000-0000-0000FDA60000}"/>
    <cellStyle name="Note 8 5 2 2 3" xfId="42622" xr:uid="{00000000-0005-0000-0000-0000FEA60000}"/>
    <cellStyle name="Note 8 5 2 3" xfId="42623" xr:uid="{00000000-0005-0000-0000-0000FFA60000}"/>
    <cellStyle name="Note 8 5 2 3 2" xfId="42624" xr:uid="{00000000-0005-0000-0000-000000A70000}"/>
    <cellStyle name="Note 8 5 2 4" xfId="42625" xr:uid="{00000000-0005-0000-0000-000001A70000}"/>
    <cellStyle name="Note 8 5 3" xfId="42626" xr:uid="{00000000-0005-0000-0000-000002A70000}"/>
    <cellStyle name="Note 8 5 3 2" xfId="42627" xr:uid="{00000000-0005-0000-0000-000003A70000}"/>
    <cellStyle name="Note 8 5 3 2 2" xfId="42628" xr:uid="{00000000-0005-0000-0000-000004A70000}"/>
    <cellStyle name="Note 8 5 3 3" xfId="42629" xr:uid="{00000000-0005-0000-0000-000005A70000}"/>
    <cellStyle name="Note 8 5 4" xfId="42630" xr:uid="{00000000-0005-0000-0000-000006A70000}"/>
    <cellStyle name="Note 8 5 4 2" xfId="42631" xr:uid="{00000000-0005-0000-0000-000007A70000}"/>
    <cellStyle name="Note 8 5 5" xfId="42632" xr:uid="{00000000-0005-0000-0000-000008A70000}"/>
    <cellStyle name="Note 8 6" xfId="42633" xr:uid="{00000000-0005-0000-0000-000009A70000}"/>
    <cellStyle name="Note 8 6 2" xfId="42634" xr:uid="{00000000-0005-0000-0000-00000AA70000}"/>
    <cellStyle name="Note 8 6 2 2" xfId="42635" xr:uid="{00000000-0005-0000-0000-00000BA70000}"/>
    <cellStyle name="Note 8 6 2 2 2" xfId="42636" xr:uid="{00000000-0005-0000-0000-00000CA70000}"/>
    <cellStyle name="Note 8 6 2 3" xfId="42637" xr:uid="{00000000-0005-0000-0000-00000DA70000}"/>
    <cellStyle name="Note 8 6 3" xfId="42638" xr:uid="{00000000-0005-0000-0000-00000EA70000}"/>
    <cellStyle name="Note 8 6 3 2" xfId="42639" xr:uid="{00000000-0005-0000-0000-00000FA70000}"/>
    <cellStyle name="Note 8 6 4" xfId="42640" xr:uid="{00000000-0005-0000-0000-000010A70000}"/>
    <cellStyle name="Note 8 7" xfId="42641" xr:uid="{00000000-0005-0000-0000-000011A70000}"/>
    <cellStyle name="Note 8 7 2" xfId="42642" xr:uid="{00000000-0005-0000-0000-000012A70000}"/>
    <cellStyle name="Note 8 7 2 2" xfId="42643" xr:uid="{00000000-0005-0000-0000-000013A70000}"/>
    <cellStyle name="Note 8 7 3" xfId="42644" xr:uid="{00000000-0005-0000-0000-000014A70000}"/>
    <cellStyle name="Note 8 8" xfId="42645" xr:uid="{00000000-0005-0000-0000-000015A70000}"/>
    <cellStyle name="Note 8 8 2" xfId="42646" xr:uid="{00000000-0005-0000-0000-000016A70000}"/>
    <cellStyle name="Note 8 9" xfId="42647" xr:uid="{00000000-0005-0000-0000-000017A70000}"/>
    <cellStyle name="Note 9" xfId="42648" xr:uid="{00000000-0005-0000-0000-000018A70000}"/>
    <cellStyle name="Note 9 2" xfId="42649" xr:uid="{00000000-0005-0000-0000-000019A70000}"/>
    <cellStyle name="Note 9 2 2" xfId="42650" xr:uid="{00000000-0005-0000-0000-00001AA70000}"/>
    <cellStyle name="Note 9 2 2 2" xfId="42651" xr:uid="{00000000-0005-0000-0000-00001BA70000}"/>
    <cellStyle name="Note 9 2 2 2 2" xfId="42652" xr:uid="{00000000-0005-0000-0000-00001CA70000}"/>
    <cellStyle name="Note 9 2 2 3" xfId="42653" xr:uid="{00000000-0005-0000-0000-00001DA70000}"/>
    <cellStyle name="Note 9 2 3" xfId="42654" xr:uid="{00000000-0005-0000-0000-00001EA70000}"/>
    <cellStyle name="Note 9 2 3 2" xfId="42655" xr:uid="{00000000-0005-0000-0000-00001FA70000}"/>
    <cellStyle name="Note 9 2 4" xfId="42656" xr:uid="{00000000-0005-0000-0000-000020A70000}"/>
    <cellStyle name="Note 9 3" xfId="42657" xr:uid="{00000000-0005-0000-0000-000021A70000}"/>
    <cellStyle name="Note 9 3 2" xfId="42658" xr:uid="{00000000-0005-0000-0000-000022A70000}"/>
    <cellStyle name="Note 9 3 2 2" xfId="42659" xr:uid="{00000000-0005-0000-0000-000023A70000}"/>
    <cellStyle name="Note 9 3 3" xfId="42660" xr:uid="{00000000-0005-0000-0000-000024A70000}"/>
    <cellStyle name="Note 9 4" xfId="42661" xr:uid="{00000000-0005-0000-0000-000025A70000}"/>
    <cellStyle name="Note 9 4 2" xfId="42662" xr:uid="{00000000-0005-0000-0000-000026A70000}"/>
    <cellStyle name="Note 9 5" xfId="42663" xr:uid="{00000000-0005-0000-0000-000027A70000}"/>
    <cellStyle name="onezero" xfId="42664" xr:uid="{00000000-0005-0000-0000-000028A70000}"/>
    <cellStyle name="onezero 2" xfId="42665" xr:uid="{00000000-0005-0000-0000-000029A70000}"/>
    <cellStyle name="onezero 3" xfId="42666" xr:uid="{00000000-0005-0000-0000-00002AA70000}"/>
    <cellStyle name="onezero 3 2" xfId="42667" xr:uid="{00000000-0005-0000-0000-00002BA70000}"/>
    <cellStyle name="onezero 3 2 2" xfId="42668" xr:uid="{00000000-0005-0000-0000-00002CA70000}"/>
    <cellStyle name="onezero 3 3" xfId="42669" xr:uid="{00000000-0005-0000-0000-00002DA70000}"/>
    <cellStyle name="onezero 4" xfId="42670" xr:uid="{00000000-0005-0000-0000-00002EA70000}"/>
    <cellStyle name="onezero 4 2" xfId="42671" xr:uid="{00000000-0005-0000-0000-00002FA70000}"/>
    <cellStyle name="onezero 4 2 2" xfId="42672" xr:uid="{00000000-0005-0000-0000-000030A70000}"/>
    <cellStyle name="onezero 4 3" xfId="42673" xr:uid="{00000000-0005-0000-0000-000031A70000}"/>
    <cellStyle name="Output 10" xfId="42674" xr:uid="{00000000-0005-0000-0000-000032A70000}"/>
    <cellStyle name="Output 2" xfId="42675" xr:uid="{00000000-0005-0000-0000-000033A70000}"/>
    <cellStyle name="Output 2 10" xfId="42676" xr:uid="{00000000-0005-0000-0000-000034A70000}"/>
    <cellStyle name="Output 2 10 2" xfId="42677" xr:uid="{00000000-0005-0000-0000-000035A70000}"/>
    <cellStyle name="Output 2 10 2 2" xfId="42678" xr:uid="{00000000-0005-0000-0000-000036A70000}"/>
    <cellStyle name="Output 2 10 3" xfId="42679" xr:uid="{00000000-0005-0000-0000-000037A70000}"/>
    <cellStyle name="Output 2 11" xfId="42680" xr:uid="{00000000-0005-0000-0000-000038A70000}"/>
    <cellStyle name="Output 2 11 2" xfId="42681" xr:uid="{00000000-0005-0000-0000-000039A70000}"/>
    <cellStyle name="Output 2 11 2 2" xfId="42682" xr:uid="{00000000-0005-0000-0000-00003AA70000}"/>
    <cellStyle name="Output 2 11 3" xfId="42683" xr:uid="{00000000-0005-0000-0000-00003BA70000}"/>
    <cellStyle name="Output 2 12" xfId="42684" xr:uid="{00000000-0005-0000-0000-00003CA70000}"/>
    <cellStyle name="Output 2 12 2" xfId="42685" xr:uid="{00000000-0005-0000-0000-00003DA70000}"/>
    <cellStyle name="Output 2 12 2 2" xfId="42686" xr:uid="{00000000-0005-0000-0000-00003EA70000}"/>
    <cellStyle name="Output 2 12 2 2 2" xfId="42687" xr:uid="{00000000-0005-0000-0000-00003FA70000}"/>
    <cellStyle name="Output 2 12 2 3" xfId="42688" xr:uid="{00000000-0005-0000-0000-000040A70000}"/>
    <cellStyle name="Output 2 12 3" xfId="42689" xr:uid="{00000000-0005-0000-0000-000041A70000}"/>
    <cellStyle name="Output 2 12 3 2" xfId="42690" xr:uid="{00000000-0005-0000-0000-000042A70000}"/>
    <cellStyle name="Output 2 12 4" xfId="42691" xr:uid="{00000000-0005-0000-0000-000043A70000}"/>
    <cellStyle name="Output 2 12 4 2" xfId="42692" xr:uid="{00000000-0005-0000-0000-000044A70000}"/>
    <cellStyle name="Output 2 12 5" xfId="42693" xr:uid="{00000000-0005-0000-0000-000045A70000}"/>
    <cellStyle name="Output 2 13" xfId="42694" xr:uid="{00000000-0005-0000-0000-000046A70000}"/>
    <cellStyle name="Output 2 13 2" xfId="42695" xr:uid="{00000000-0005-0000-0000-000047A70000}"/>
    <cellStyle name="Output 2 13 3" xfId="42696" xr:uid="{00000000-0005-0000-0000-000048A70000}"/>
    <cellStyle name="Output 2 14" xfId="42697" xr:uid="{00000000-0005-0000-0000-000049A70000}"/>
    <cellStyle name="Output 2 14 2" xfId="42698" xr:uid="{00000000-0005-0000-0000-00004AA70000}"/>
    <cellStyle name="Output 2 15" xfId="42699" xr:uid="{00000000-0005-0000-0000-00004BA70000}"/>
    <cellStyle name="Output 2 16" xfId="42700" xr:uid="{00000000-0005-0000-0000-00004CA70000}"/>
    <cellStyle name="Output 2 2" xfId="42701" xr:uid="{00000000-0005-0000-0000-00004DA70000}"/>
    <cellStyle name="Output 2 2 2" xfId="42702" xr:uid="{00000000-0005-0000-0000-00004EA70000}"/>
    <cellStyle name="Output 2 2 2 2" xfId="42703" xr:uid="{00000000-0005-0000-0000-00004FA70000}"/>
    <cellStyle name="Output 2 2 2 2 2" xfId="42704" xr:uid="{00000000-0005-0000-0000-000050A70000}"/>
    <cellStyle name="Output 2 2 2 3" xfId="42705" xr:uid="{00000000-0005-0000-0000-000051A70000}"/>
    <cellStyle name="Output 2 2 2 3 2" xfId="42706" xr:uid="{00000000-0005-0000-0000-000052A70000}"/>
    <cellStyle name="Output 2 2 2 3 2 2" xfId="42707" xr:uid="{00000000-0005-0000-0000-000053A70000}"/>
    <cellStyle name="Output 2 2 2 3 3" xfId="42708" xr:uid="{00000000-0005-0000-0000-000054A70000}"/>
    <cellStyle name="Output 2 2 2 4" xfId="42709" xr:uid="{00000000-0005-0000-0000-000055A70000}"/>
    <cellStyle name="Output 2 2 2 4 2" xfId="42710" xr:uid="{00000000-0005-0000-0000-000056A70000}"/>
    <cellStyle name="Output 2 2 2 4 2 2" xfId="42711" xr:uid="{00000000-0005-0000-0000-000057A70000}"/>
    <cellStyle name="Output 2 2 2 4 3" xfId="42712" xr:uid="{00000000-0005-0000-0000-000058A70000}"/>
    <cellStyle name="Output 2 2 2 5" xfId="42713" xr:uid="{00000000-0005-0000-0000-000059A70000}"/>
    <cellStyle name="Output 2 2 3" xfId="42714" xr:uid="{00000000-0005-0000-0000-00005AA70000}"/>
    <cellStyle name="Output 2 2 3 2" xfId="42715" xr:uid="{00000000-0005-0000-0000-00005BA70000}"/>
    <cellStyle name="Output 2 2 3 2 2" xfId="42716" xr:uid="{00000000-0005-0000-0000-00005CA70000}"/>
    <cellStyle name="Output 2 2 3 2 2 2" xfId="42717" xr:uid="{00000000-0005-0000-0000-00005DA70000}"/>
    <cellStyle name="Output 2 2 3 2 3" xfId="42718" xr:uid="{00000000-0005-0000-0000-00005EA70000}"/>
    <cellStyle name="Output 2 2 3 2 3 2" xfId="42719" xr:uid="{00000000-0005-0000-0000-00005FA70000}"/>
    <cellStyle name="Output 2 2 3 2 3 2 2" xfId="42720" xr:uid="{00000000-0005-0000-0000-000060A70000}"/>
    <cellStyle name="Output 2 2 3 2 3 3" xfId="42721" xr:uid="{00000000-0005-0000-0000-000061A70000}"/>
    <cellStyle name="Output 2 2 3 2 4" xfId="42722" xr:uid="{00000000-0005-0000-0000-000062A70000}"/>
    <cellStyle name="Output 2 2 3 3" xfId="42723" xr:uid="{00000000-0005-0000-0000-000063A70000}"/>
    <cellStyle name="Output 2 2 3 3 2" xfId="42724" xr:uid="{00000000-0005-0000-0000-000064A70000}"/>
    <cellStyle name="Output 2 2 3 3 2 2" xfId="42725" xr:uid="{00000000-0005-0000-0000-000065A70000}"/>
    <cellStyle name="Output 2 2 3 3 3" xfId="42726" xr:uid="{00000000-0005-0000-0000-000066A70000}"/>
    <cellStyle name="Output 2 2 3 4" xfId="42727" xr:uid="{00000000-0005-0000-0000-000067A70000}"/>
    <cellStyle name="Output 2 2 3 4 2" xfId="42728" xr:uid="{00000000-0005-0000-0000-000068A70000}"/>
    <cellStyle name="Output 2 2 3 4 2 2" xfId="42729" xr:uid="{00000000-0005-0000-0000-000069A70000}"/>
    <cellStyle name="Output 2 2 3 4 3" xfId="42730" xr:uid="{00000000-0005-0000-0000-00006AA70000}"/>
    <cellStyle name="Output 2 2 3 5" xfId="42731" xr:uid="{00000000-0005-0000-0000-00006BA70000}"/>
    <cellStyle name="Output 2 2 3 5 2" xfId="42732" xr:uid="{00000000-0005-0000-0000-00006CA70000}"/>
    <cellStyle name="Output 2 2 3 5 2 2" xfId="42733" xr:uid="{00000000-0005-0000-0000-00006DA70000}"/>
    <cellStyle name="Output 2 2 3 5 3" xfId="42734" xr:uid="{00000000-0005-0000-0000-00006EA70000}"/>
    <cellStyle name="Output 2 2 3 6" xfId="42735" xr:uid="{00000000-0005-0000-0000-00006FA70000}"/>
    <cellStyle name="Output 2 2 4" xfId="42736" xr:uid="{00000000-0005-0000-0000-000070A70000}"/>
    <cellStyle name="Output 2 2 4 2" xfId="42737" xr:uid="{00000000-0005-0000-0000-000071A70000}"/>
    <cellStyle name="Output 2 2 4 2 2" xfId="42738" xr:uid="{00000000-0005-0000-0000-000072A70000}"/>
    <cellStyle name="Output 2 2 4 3" xfId="42739" xr:uid="{00000000-0005-0000-0000-000073A70000}"/>
    <cellStyle name="Output 2 2 5" xfId="42740" xr:uid="{00000000-0005-0000-0000-000074A70000}"/>
    <cellStyle name="Output 2 2 5 2" xfId="42741" xr:uid="{00000000-0005-0000-0000-000075A70000}"/>
    <cellStyle name="Output 2 2 5 2 2" xfId="42742" xr:uid="{00000000-0005-0000-0000-000076A70000}"/>
    <cellStyle name="Output 2 2 5 3" xfId="42743" xr:uid="{00000000-0005-0000-0000-000077A70000}"/>
    <cellStyle name="Output 2 2 6" xfId="42744" xr:uid="{00000000-0005-0000-0000-000078A70000}"/>
    <cellStyle name="Output 2 2 6 2" xfId="42745" xr:uid="{00000000-0005-0000-0000-000079A70000}"/>
    <cellStyle name="Output 2 2 6 2 2" xfId="42746" xr:uid="{00000000-0005-0000-0000-00007AA70000}"/>
    <cellStyle name="Output 2 2 6 3" xfId="42747" xr:uid="{00000000-0005-0000-0000-00007BA70000}"/>
    <cellStyle name="Output 2 2 7" xfId="42748" xr:uid="{00000000-0005-0000-0000-00007CA70000}"/>
    <cellStyle name="Output 2 3" xfId="42749" xr:uid="{00000000-0005-0000-0000-00007DA70000}"/>
    <cellStyle name="Output 2 3 2" xfId="42750" xr:uid="{00000000-0005-0000-0000-00007EA70000}"/>
    <cellStyle name="Output 2 3 2 2" xfId="42751" xr:uid="{00000000-0005-0000-0000-00007FA70000}"/>
    <cellStyle name="Output 2 3 2 2 2" xfId="42752" xr:uid="{00000000-0005-0000-0000-000080A70000}"/>
    <cellStyle name="Output 2 3 2 2 2 2" xfId="42753" xr:uid="{00000000-0005-0000-0000-000081A70000}"/>
    <cellStyle name="Output 2 3 2 2 3" xfId="42754" xr:uid="{00000000-0005-0000-0000-000082A70000}"/>
    <cellStyle name="Output 2 3 2 3" xfId="42755" xr:uid="{00000000-0005-0000-0000-000083A70000}"/>
    <cellStyle name="Output 2 3 2 3 2" xfId="42756" xr:uid="{00000000-0005-0000-0000-000084A70000}"/>
    <cellStyle name="Output 2 3 2 3 2 2" xfId="42757" xr:uid="{00000000-0005-0000-0000-000085A70000}"/>
    <cellStyle name="Output 2 3 2 3 3" xfId="42758" xr:uid="{00000000-0005-0000-0000-000086A70000}"/>
    <cellStyle name="Output 2 3 2 4" xfId="42759" xr:uid="{00000000-0005-0000-0000-000087A70000}"/>
    <cellStyle name="Output 2 3 2 4 2" xfId="42760" xr:uid="{00000000-0005-0000-0000-000088A70000}"/>
    <cellStyle name="Output 2 3 2 4 2 2" xfId="42761" xr:uid="{00000000-0005-0000-0000-000089A70000}"/>
    <cellStyle name="Output 2 3 2 4 3" xfId="42762" xr:uid="{00000000-0005-0000-0000-00008AA70000}"/>
    <cellStyle name="Output 2 3 2 5" xfId="42763" xr:uid="{00000000-0005-0000-0000-00008BA70000}"/>
    <cellStyle name="Output 2 3 2 5 2" xfId="42764" xr:uid="{00000000-0005-0000-0000-00008CA70000}"/>
    <cellStyle name="Output 2 3 2 6" xfId="42765" xr:uid="{00000000-0005-0000-0000-00008DA70000}"/>
    <cellStyle name="Output 2 3 3" xfId="42766" xr:uid="{00000000-0005-0000-0000-00008EA70000}"/>
    <cellStyle name="Output 2 3 3 2" xfId="42767" xr:uid="{00000000-0005-0000-0000-00008FA70000}"/>
    <cellStyle name="Output 2 3 3 2 2" xfId="42768" xr:uid="{00000000-0005-0000-0000-000090A70000}"/>
    <cellStyle name="Output 2 3 3 2 2 2" xfId="42769" xr:uid="{00000000-0005-0000-0000-000091A70000}"/>
    <cellStyle name="Output 2 3 3 2 2 2 2" xfId="42770" xr:uid="{00000000-0005-0000-0000-000092A70000}"/>
    <cellStyle name="Output 2 3 3 2 2 3" xfId="42771" xr:uid="{00000000-0005-0000-0000-000093A70000}"/>
    <cellStyle name="Output 2 3 3 2 3" xfId="42772" xr:uid="{00000000-0005-0000-0000-000094A70000}"/>
    <cellStyle name="Output 2 3 3 2 3 2" xfId="42773" xr:uid="{00000000-0005-0000-0000-000095A70000}"/>
    <cellStyle name="Output 2 3 3 2 3 2 2" xfId="42774" xr:uid="{00000000-0005-0000-0000-000096A70000}"/>
    <cellStyle name="Output 2 3 3 2 3 3" xfId="42775" xr:uid="{00000000-0005-0000-0000-000097A70000}"/>
    <cellStyle name="Output 2 3 3 2 4" xfId="42776" xr:uid="{00000000-0005-0000-0000-000098A70000}"/>
    <cellStyle name="Output 2 3 3 2 4 2" xfId="42777" xr:uid="{00000000-0005-0000-0000-000099A70000}"/>
    <cellStyle name="Output 2 3 3 2 5" xfId="42778" xr:uid="{00000000-0005-0000-0000-00009AA70000}"/>
    <cellStyle name="Output 2 3 3 3" xfId="42779" xr:uid="{00000000-0005-0000-0000-00009BA70000}"/>
    <cellStyle name="Output 2 3 3 3 2" xfId="42780" xr:uid="{00000000-0005-0000-0000-00009CA70000}"/>
    <cellStyle name="Output 2 3 3 3 2 2" xfId="42781" xr:uid="{00000000-0005-0000-0000-00009DA70000}"/>
    <cellStyle name="Output 2 3 3 3 2 2 2" xfId="42782" xr:uid="{00000000-0005-0000-0000-00009EA70000}"/>
    <cellStyle name="Output 2 3 3 3 2 3" xfId="42783" xr:uid="{00000000-0005-0000-0000-00009FA70000}"/>
    <cellStyle name="Output 2 3 3 3 3" xfId="42784" xr:uid="{00000000-0005-0000-0000-0000A0A70000}"/>
    <cellStyle name="Output 2 3 3 3 3 2" xfId="42785" xr:uid="{00000000-0005-0000-0000-0000A1A70000}"/>
    <cellStyle name="Output 2 3 3 3 4" xfId="42786" xr:uid="{00000000-0005-0000-0000-0000A2A70000}"/>
    <cellStyle name="Output 2 3 3 4" xfId="42787" xr:uid="{00000000-0005-0000-0000-0000A3A70000}"/>
    <cellStyle name="Output 2 3 3 4 2" xfId="42788" xr:uid="{00000000-0005-0000-0000-0000A4A70000}"/>
    <cellStyle name="Output 2 3 3 4 2 2" xfId="42789" xr:uid="{00000000-0005-0000-0000-0000A5A70000}"/>
    <cellStyle name="Output 2 3 3 4 3" xfId="42790" xr:uid="{00000000-0005-0000-0000-0000A6A70000}"/>
    <cellStyle name="Output 2 3 3 5" xfId="42791" xr:uid="{00000000-0005-0000-0000-0000A7A70000}"/>
    <cellStyle name="Output 2 3 3 5 2" xfId="42792" xr:uid="{00000000-0005-0000-0000-0000A8A70000}"/>
    <cellStyle name="Output 2 3 3 5 2 2" xfId="42793" xr:uid="{00000000-0005-0000-0000-0000A9A70000}"/>
    <cellStyle name="Output 2 3 3 5 3" xfId="42794" xr:uid="{00000000-0005-0000-0000-0000AAA70000}"/>
    <cellStyle name="Output 2 3 3 6" xfId="42795" xr:uid="{00000000-0005-0000-0000-0000ABA70000}"/>
    <cellStyle name="Output 2 3 3 6 2" xfId="42796" xr:uid="{00000000-0005-0000-0000-0000ACA70000}"/>
    <cellStyle name="Output 2 3 3 7" xfId="42797" xr:uid="{00000000-0005-0000-0000-0000ADA70000}"/>
    <cellStyle name="Output 2 3 4" xfId="42798" xr:uid="{00000000-0005-0000-0000-0000AEA70000}"/>
    <cellStyle name="Output 2 3 4 2" xfId="42799" xr:uid="{00000000-0005-0000-0000-0000AFA70000}"/>
    <cellStyle name="Output 2 3 4 2 2" xfId="42800" xr:uid="{00000000-0005-0000-0000-0000B0A70000}"/>
    <cellStyle name="Output 2 3 4 2 2 2" xfId="42801" xr:uid="{00000000-0005-0000-0000-0000B1A70000}"/>
    <cellStyle name="Output 2 3 4 2 3" xfId="42802" xr:uid="{00000000-0005-0000-0000-0000B2A70000}"/>
    <cellStyle name="Output 2 3 4 3" xfId="42803" xr:uid="{00000000-0005-0000-0000-0000B3A70000}"/>
    <cellStyle name="Output 2 3 4 3 2" xfId="42804" xr:uid="{00000000-0005-0000-0000-0000B4A70000}"/>
    <cellStyle name="Output 2 3 4 4" xfId="42805" xr:uid="{00000000-0005-0000-0000-0000B5A70000}"/>
    <cellStyle name="Output 2 3 5" xfId="42806" xr:uid="{00000000-0005-0000-0000-0000B6A70000}"/>
    <cellStyle name="Output 2 3 5 2" xfId="42807" xr:uid="{00000000-0005-0000-0000-0000B7A70000}"/>
    <cellStyle name="Output 2 3 5 2 2" xfId="42808" xr:uid="{00000000-0005-0000-0000-0000B8A70000}"/>
    <cellStyle name="Output 2 3 5 3" xfId="42809" xr:uid="{00000000-0005-0000-0000-0000B9A70000}"/>
    <cellStyle name="Output 2 3 6" xfId="42810" xr:uid="{00000000-0005-0000-0000-0000BAA70000}"/>
    <cellStyle name="Output 2 3 6 2" xfId="42811" xr:uid="{00000000-0005-0000-0000-0000BBA70000}"/>
    <cellStyle name="Output 2 3 6 2 2" xfId="42812" xr:uid="{00000000-0005-0000-0000-0000BCA70000}"/>
    <cellStyle name="Output 2 3 6 3" xfId="42813" xr:uid="{00000000-0005-0000-0000-0000BDA70000}"/>
    <cellStyle name="Output 2 3 7" xfId="42814" xr:uid="{00000000-0005-0000-0000-0000BEA70000}"/>
    <cellStyle name="Output 2 3 7 2" xfId="42815" xr:uid="{00000000-0005-0000-0000-0000BFA70000}"/>
    <cellStyle name="Output 2 3 8" xfId="42816" xr:uid="{00000000-0005-0000-0000-0000C0A70000}"/>
    <cellStyle name="Output 2 4" xfId="42817" xr:uid="{00000000-0005-0000-0000-0000C1A70000}"/>
    <cellStyle name="Output 2 4 2" xfId="42818" xr:uid="{00000000-0005-0000-0000-0000C2A70000}"/>
    <cellStyle name="Output 2 4 2 2" xfId="42819" xr:uid="{00000000-0005-0000-0000-0000C3A70000}"/>
    <cellStyle name="Output 2 4 2 2 2" xfId="42820" xr:uid="{00000000-0005-0000-0000-0000C4A70000}"/>
    <cellStyle name="Output 2 4 2 2 2 2" xfId="42821" xr:uid="{00000000-0005-0000-0000-0000C5A70000}"/>
    <cellStyle name="Output 2 4 2 2 3" xfId="42822" xr:uid="{00000000-0005-0000-0000-0000C6A70000}"/>
    <cellStyle name="Output 2 4 2 3" xfId="42823" xr:uid="{00000000-0005-0000-0000-0000C7A70000}"/>
    <cellStyle name="Output 2 4 2 3 2" xfId="42824" xr:uid="{00000000-0005-0000-0000-0000C8A70000}"/>
    <cellStyle name="Output 2 4 2 3 2 2" xfId="42825" xr:uid="{00000000-0005-0000-0000-0000C9A70000}"/>
    <cellStyle name="Output 2 4 2 3 3" xfId="42826" xr:uid="{00000000-0005-0000-0000-0000CAA70000}"/>
    <cellStyle name="Output 2 4 2 4" xfId="42827" xr:uid="{00000000-0005-0000-0000-0000CBA70000}"/>
    <cellStyle name="Output 2 4 2 4 2" xfId="42828" xr:uid="{00000000-0005-0000-0000-0000CCA70000}"/>
    <cellStyle name="Output 2 4 2 4 2 2" xfId="42829" xr:uid="{00000000-0005-0000-0000-0000CDA70000}"/>
    <cellStyle name="Output 2 4 2 4 3" xfId="42830" xr:uid="{00000000-0005-0000-0000-0000CEA70000}"/>
    <cellStyle name="Output 2 4 2 5" xfId="42831" xr:uid="{00000000-0005-0000-0000-0000CFA70000}"/>
    <cellStyle name="Output 2 4 2 5 2" xfId="42832" xr:uid="{00000000-0005-0000-0000-0000D0A70000}"/>
    <cellStyle name="Output 2 4 2 6" xfId="42833" xr:uid="{00000000-0005-0000-0000-0000D1A70000}"/>
    <cellStyle name="Output 2 4 3" xfId="42834" xr:uid="{00000000-0005-0000-0000-0000D2A70000}"/>
    <cellStyle name="Output 2 4 3 2" xfId="42835" xr:uid="{00000000-0005-0000-0000-0000D3A70000}"/>
    <cellStyle name="Output 2 4 3 2 2" xfId="42836" xr:uid="{00000000-0005-0000-0000-0000D4A70000}"/>
    <cellStyle name="Output 2 4 3 2 2 2" xfId="42837" xr:uid="{00000000-0005-0000-0000-0000D5A70000}"/>
    <cellStyle name="Output 2 4 3 2 3" xfId="42838" xr:uid="{00000000-0005-0000-0000-0000D6A70000}"/>
    <cellStyle name="Output 2 4 3 3" xfId="42839" xr:uid="{00000000-0005-0000-0000-0000D7A70000}"/>
    <cellStyle name="Output 2 4 3 3 2" xfId="42840" xr:uid="{00000000-0005-0000-0000-0000D8A70000}"/>
    <cellStyle name="Output 2 4 3 4" xfId="42841" xr:uid="{00000000-0005-0000-0000-0000D9A70000}"/>
    <cellStyle name="Output 2 4 4" xfId="42842" xr:uid="{00000000-0005-0000-0000-0000DAA70000}"/>
    <cellStyle name="Output 2 4 4 2" xfId="42843" xr:uid="{00000000-0005-0000-0000-0000DBA70000}"/>
    <cellStyle name="Output 2 4 4 2 2" xfId="42844" xr:uid="{00000000-0005-0000-0000-0000DCA70000}"/>
    <cellStyle name="Output 2 4 4 3" xfId="42845" xr:uid="{00000000-0005-0000-0000-0000DDA70000}"/>
    <cellStyle name="Output 2 4 5" xfId="42846" xr:uid="{00000000-0005-0000-0000-0000DEA70000}"/>
    <cellStyle name="Output 2 4 5 2" xfId="42847" xr:uid="{00000000-0005-0000-0000-0000DFA70000}"/>
    <cellStyle name="Output 2 4 5 2 2" xfId="42848" xr:uid="{00000000-0005-0000-0000-0000E0A70000}"/>
    <cellStyle name="Output 2 4 5 3" xfId="42849" xr:uid="{00000000-0005-0000-0000-0000E1A70000}"/>
    <cellStyle name="Output 2 4 6" xfId="42850" xr:uid="{00000000-0005-0000-0000-0000E2A70000}"/>
    <cellStyle name="Output 2 4 6 2" xfId="42851" xr:uid="{00000000-0005-0000-0000-0000E3A70000}"/>
    <cellStyle name="Output 2 4 7" xfId="42852" xr:uid="{00000000-0005-0000-0000-0000E4A70000}"/>
    <cellStyle name="Output 2 5" xfId="42853" xr:uid="{00000000-0005-0000-0000-0000E5A70000}"/>
    <cellStyle name="Output 2 5 2" xfId="42854" xr:uid="{00000000-0005-0000-0000-0000E6A70000}"/>
    <cellStyle name="Output 2 5 2 2" xfId="42855" xr:uid="{00000000-0005-0000-0000-0000E7A70000}"/>
    <cellStyle name="Output 2 5 2 2 2" xfId="42856" xr:uid="{00000000-0005-0000-0000-0000E8A70000}"/>
    <cellStyle name="Output 2 5 2 2 2 2" xfId="42857" xr:uid="{00000000-0005-0000-0000-0000E9A70000}"/>
    <cellStyle name="Output 2 5 2 2 3" xfId="42858" xr:uid="{00000000-0005-0000-0000-0000EAA70000}"/>
    <cellStyle name="Output 2 5 2 3" xfId="42859" xr:uid="{00000000-0005-0000-0000-0000EBA70000}"/>
    <cellStyle name="Output 2 5 2 3 2" xfId="42860" xr:uid="{00000000-0005-0000-0000-0000ECA70000}"/>
    <cellStyle name="Output 2 5 2 3 2 2" xfId="42861" xr:uid="{00000000-0005-0000-0000-0000EDA70000}"/>
    <cellStyle name="Output 2 5 2 3 3" xfId="42862" xr:uid="{00000000-0005-0000-0000-0000EEA70000}"/>
    <cellStyle name="Output 2 5 2 4" xfId="42863" xr:uid="{00000000-0005-0000-0000-0000EFA70000}"/>
    <cellStyle name="Output 2 5 2 4 2" xfId="42864" xr:uid="{00000000-0005-0000-0000-0000F0A70000}"/>
    <cellStyle name="Output 2 5 2 4 2 2" xfId="42865" xr:uid="{00000000-0005-0000-0000-0000F1A70000}"/>
    <cellStyle name="Output 2 5 2 4 3" xfId="42866" xr:uid="{00000000-0005-0000-0000-0000F2A70000}"/>
    <cellStyle name="Output 2 5 2 5" xfId="42867" xr:uid="{00000000-0005-0000-0000-0000F3A70000}"/>
    <cellStyle name="Output 2 5 2 5 2" xfId="42868" xr:uid="{00000000-0005-0000-0000-0000F4A70000}"/>
    <cellStyle name="Output 2 5 2 6" xfId="42869" xr:uid="{00000000-0005-0000-0000-0000F5A70000}"/>
    <cellStyle name="Output 2 5 3" xfId="42870" xr:uid="{00000000-0005-0000-0000-0000F6A70000}"/>
    <cellStyle name="Output 2 5 3 2" xfId="42871" xr:uid="{00000000-0005-0000-0000-0000F7A70000}"/>
    <cellStyle name="Output 2 5 3 2 2" xfId="42872" xr:uid="{00000000-0005-0000-0000-0000F8A70000}"/>
    <cellStyle name="Output 2 5 3 2 2 2" xfId="42873" xr:uid="{00000000-0005-0000-0000-0000F9A70000}"/>
    <cellStyle name="Output 2 5 3 2 2 2 2" xfId="42874" xr:uid="{00000000-0005-0000-0000-0000FAA70000}"/>
    <cellStyle name="Output 2 5 3 2 2 3" xfId="42875" xr:uid="{00000000-0005-0000-0000-0000FBA70000}"/>
    <cellStyle name="Output 2 5 3 2 3" xfId="42876" xr:uid="{00000000-0005-0000-0000-0000FCA70000}"/>
    <cellStyle name="Output 2 5 3 2 3 2" xfId="42877" xr:uid="{00000000-0005-0000-0000-0000FDA70000}"/>
    <cellStyle name="Output 2 5 3 2 3 2 2" xfId="42878" xr:uid="{00000000-0005-0000-0000-0000FEA70000}"/>
    <cellStyle name="Output 2 5 3 2 3 3" xfId="42879" xr:uid="{00000000-0005-0000-0000-0000FFA70000}"/>
    <cellStyle name="Output 2 5 3 2 4" xfId="42880" xr:uid="{00000000-0005-0000-0000-000000A80000}"/>
    <cellStyle name="Output 2 5 3 2 4 2" xfId="42881" xr:uid="{00000000-0005-0000-0000-000001A80000}"/>
    <cellStyle name="Output 2 5 3 2 5" xfId="42882" xr:uid="{00000000-0005-0000-0000-000002A80000}"/>
    <cellStyle name="Output 2 5 3 3" xfId="42883" xr:uid="{00000000-0005-0000-0000-000003A80000}"/>
    <cellStyle name="Output 2 5 3 3 2" xfId="42884" xr:uid="{00000000-0005-0000-0000-000004A80000}"/>
    <cellStyle name="Output 2 5 3 3 2 2" xfId="42885" xr:uid="{00000000-0005-0000-0000-000005A80000}"/>
    <cellStyle name="Output 2 5 3 3 2 2 2" xfId="42886" xr:uid="{00000000-0005-0000-0000-000006A80000}"/>
    <cellStyle name="Output 2 5 3 3 2 3" xfId="42887" xr:uid="{00000000-0005-0000-0000-000007A80000}"/>
    <cellStyle name="Output 2 5 3 3 3" xfId="42888" xr:uid="{00000000-0005-0000-0000-000008A80000}"/>
    <cellStyle name="Output 2 5 3 3 3 2" xfId="42889" xr:uid="{00000000-0005-0000-0000-000009A80000}"/>
    <cellStyle name="Output 2 5 3 3 4" xfId="42890" xr:uid="{00000000-0005-0000-0000-00000AA80000}"/>
    <cellStyle name="Output 2 5 3 4" xfId="42891" xr:uid="{00000000-0005-0000-0000-00000BA80000}"/>
    <cellStyle name="Output 2 5 3 4 2" xfId="42892" xr:uid="{00000000-0005-0000-0000-00000CA80000}"/>
    <cellStyle name="Output 2 5 3 4 2 2" xfId="42893" xr:uid="{00000000-0005-0000-0000-00000DA80000}"/>
    <cellStyle name="Output 2 5 3 4 3" xfId="42894" xr:uid="{00000000-0005-0000-0000-00000EA80000}"/>
    <cellStyle name="Output 2 5 3 5" xfId="42895" xr:uid="{00000000-0005-0000-0000-00000FA80000}"/>
    <cellStyle name="Output 2 5 3 5 2" xfId="42896" xr:uid="{00000000-0005-0000-0000-000010A80000}"/>
    <cellStyle name="Output 2 5 3 5 2 2" xfId="42897" xr:uid="{00000000-0005-0000-0000-000011A80000}"/>
    <cellStyle name="Output 2 5 3 5 3" xfId="42898" xr:uid="{00000000-0005-0000-0000-000012A80000}"/>
    <cellStyle name="Output 2 5 3 6" xfId="42899" xr:uid="{00000000-0005-0000-0000-000013A80000}"/>
    <cellStyle name="Output 2 5 3 6 2" xfId="42900" xr:uid="{00000000-0005-0000-0000-000014A80000}"/>
    <cellStyle name="Output 2 5 3 7" xfId="42901" xr:uid="{00000000-0005-0000-0000-000015A80000}"/>
    <cellStyle name="Output 2 5 4" xfId="42902" xr:uid="{00000000-0005-0000-0000-000016A80000}"/>
    <cellStyle name="Output 2 5 4 2" xfId="42903" xr:uid="{00000000-0005-0000-0000-000017A80000}"/>
    <cellStyle name="Output 2 5 4 2 2" xfId="42904" xr:uid="{00000000-0005-0000-0000-000018A80000}"/>
    <cellStyle name="Output 2 5 4 2 2 2" xfId="42905" xr:uid="{00000000-0005-0000-0000-000019A80000}"/>
    <cellStyle name="Output 2 5 4 2 3" xfId="42906" xr:uid="{00000000-0005-0000-0000-00001AA80000}"/>
    <cellStyle name="Output 2 5 4 3" xfId="42907" xr:uid="{00000000-0005-0000-0000-00001BA80000}"/>
    <cellStyle name="Output 2 5 4 3 2" xfId="42908" xr:uid="{00000000-0005-0000-0000-00001CA80000}"/>
    <cellStyle name="Output 2 5 4 4" xfId="42909" xr:uid="{00000000-0005-0000-0000-00001DA80000}"/>
    <cellStyle name="Output 2 5 5" xfId="42910" xr:uid="{00000000-0005-0000-0000-00001EA80000}"/>
    <cellStyle name="Output 2 5 5 2" xfId="42911" xr:uid="{00000000-0005-0000-0000-00001FA80000}"/>
    <cellStyle name="Output 2 5 5 2 2" xfId="42912" xr:uid="{00000000-0005-0000-0000-000020A80000}"/>
    <cellStyle name="Output 2 5 5 3" xfId="42913" xr:uid="{00000000-0005-0000-0000-000021A80000}"/>
    <cellStyle name="Output 2 5 6" xfId="42914" xr:uid="{00000000-0005-0000-0000-000022A80000}"/>
    <cellStyle name="Output 2 5 6 2" xfId="42915" xr:uid="{00000000-0005-0000-0000-000023A80000}"/>
    <cellStyle name="Output 2 5 6 2 2" xfId="42916" xr:uid="{00000000-0005-0000-0000-000024A80000}"/>
    <cellStyle name="Output 2 5 6 3" xfId="42917" xr:uid="{00000000-0005-0000-0000-000025A80000}"/>
    <cellStyle name="Output 2 5 7" xfId="42918" xr:uid="{00000000-0005-0000-0000-000026A80000}"/>
    <cellStyle name="Output 2 5 7 2" xfId="42919" xr:uid="{00000000-0005-0000-0000-000027A80000}"/>
    <cellStyle name="Output 2 5 8" xfId="42920" xr:uid="{00000000-0005-0000-0000-000028A80000}"/>
    <cellStyle name="Output 2 6" xfId="42921" xr:uid="{00000000-0005-0000-0000-000029A80000}"/>
    <cellStyle name="Output 2 6 2" xfId="42922" xr:uid="{00000000-0005-0000-0000-00002AA80000}"/>
    <cellStyle name="Output 2 6 2 2" xfId="42923" xr:uid="{00000000-0005-0000-0000-00002BA80000}"/>
    <cellStyle name="Output 2 6 2 2 2" xfId="42924" xr:uid="{00000000-0005-0000-0000-00002CA80000}"/>
    <cellStyle name="Output 2 6 2 2 2 2" xfId="42925" xr:uid="{00000000-0005-0000-0000-00002DA80000}"/>
    <cellStyle name="Output 2 6 2 2 3" xfId="42926" xr:uid="{00000000-0005-0000-0000-00002EA80000}"/>
    <cellStyle name="Output 2 6 2 3" xfId="42927" xr:uid="{00000000-0005-0000-0000-00002FA80000}"/>
    <cellStyle name="Output 2 6 2 3 2" xfId="42928" xr:uid="{00000000-0005-0000-0000-000030A80000}"/>
    <cellStyle name="Output 2 6 2 3 2 2" xfId="42929" xr:uid="{00000000-0005-0000-0000-000031A80000}"/>
    <cellStyle name="Output 2 6 2 3 3" xfId="42930" xr:uid="{00000000-0005-0000-0000-000032A80000}"/>
    <cellStyle name="Output 2 6 2 4" xfId="42931" xr:uid="{00000000-0005-0000-0000-000033A80000}"/>
    <cellStyle name="Output 2 6 2 4 2" xfId="42932" xr:uid="{00000000-0005-0000-0000-000034A80000}"/>
    <cellStyle name="Output 2 6 2 4 2 2" xfId="42933" xr:uid="{00000000-0005-0000-0000-000035A80000}"/>
    <cellStyle name="Output 2 6 2 4 3" xfId="42934" xr:uid="{00000000-0005-0000-0000-000036A80000}"/>
    <cellStyle name="Output 2 6 2 5" xfId="42935" xr:uid="{00000000-0005-0000-0000-000037A80000}"/>
    <cellStyle name="Output 2 6 2 5 2" xfId="42936" xr:uid="{00000000-0005-0000-0000-000038A80000}"/>
    <cellStyle name="Output 2 6 2 6" xfId="42937" xr:uid="{00000000-0005-0000-0000-000039A80000}"/>
    <cellStyle name="Output 2 6 3" xfId="42938" xr:uid="{00000000-0005-0000-0000-00003AA80000}"/>
    <cellStyle name="Output 2 6 3 2" xfId="42939" xr:uid="{00000000-0005-0000-0000-00003BA80000}"/>
    <cellStyle name="Output 2 6 3 2 2" xfId="42940" xr:uid="{00000000-0005-0000-0000-00003CA80000}"/>
    <cellStyle name="Output 2 6 3 2 2 2" xfId="42941" xr:uid="{00000000-0005-0000-0000-00003DA80000}"/>
    <cellStyle name="Output 2 6 3 2 3" xfId="42942" xr:uid="{00000000-0005-0000-0000-00003EA80000}"/>
    <cellStyle name="Output 2 6 3 3" xfId="42943" xr:uid="{00000000-0005-0000-0000-00003FA80000}"/>
    <cellStyle name="Output 2 6 3 3 2" xfId="42944" xr:uid="{00000000-0005-0000-0000-000040A80000}"/>
    <cellStyle name="Output 2 6 3 3 2 2" xfId="42945" xr:uid="{00000000-0005-0000-0000-000041A80000}"/>
    <cellStyle name="Output 2 6 3 3 3" xfId="42946" xr:uid="{00000000-0005-0000-0000-000042A80000}"/>
    <cellStyle name="Output 2 6 3 4" xfId="42947" xr:uid="{00000000-0005-0000-0000-000043A80000}"/>
    <cellStyle name="Output 2 6 3 4 2" xfId="42948" xr:uid="{00000000-0005-0000-0000-000044A80000}"/>
    <cellStyle name="Output 2 6 3 5" xfId="42949" xr:uid="{00000000-0005-0000-0000-000045A80000}"/>
    <cellStyle name="Output 2 6 4" xfId="42950" xr:uid="{00000000-0005-0000-0000-000046A80000}"/>
    <cellStyle name="Output 2 6 4 2" xfId="42951" xr:uid="{00000000-0005-0000-0000-000047A80000}"/>
    <cellStyle name="Output 2 6 4 2 2" xfId="42952" xr:uid="{00000000-0005-0000-0000-000048A80000}"/>
    <cellStyle name="Output 2 6 4 2 2 2" xfId="42953" xr:uid="{00000000-0005-0000-0000-000049A80000}"/>
    <cellStyle name="Output 2 6 4 2 3" xfId="42954" xr:uid="{00000000-0005-0000-0000-00004AA80000}"/>
    <cellStyle name="Output 2 6 4 3" xfId="42955" xr:uid="{00000000-0005-0000-0000-00004BA80000}"/>
    <cellStyle name="Output 2 6 4 3 2" xfId="42956" xr:uid="{00000000-0005-0000-0000-00004CA80000}"/>
    <cellStyle name="Output 2 6 4 4" xfId="42957" xr:uid="{00000000-0005-0000-0000-00004DA80000}"/>
    <cellStyle name="Output 2 6 5" xfId="42958" xr:uid="{00000000-0005-0000-0000-00004EA80000}"/>
    <cellStyle name="Output 2 6 5 2" xfId="42959" xr:uid="{00000000-0005-0000-0000-00004FA80000}"/>
    <cellStyle name="Output 2 6 5 2 2" xfId="42960" xr:uid="{00000000-0005-0000-0000-000050A80000}"/>
    <cellStyle name="Output 2 6 5 3" xfId="42961" xr:uid="{00000000-0005-0000-0000-000051A80000}"/>
    <cellStyle name="Output 2 6 6" xfId="42962" xr:uid="{00000000-0005-0000-0000-000052A80000}"/>
    <cellStyle name="Output 2 6 6 2" xfId="42963" xr:uid="{00000000-0005-0000-0000-000053A80000}"/>
    <cellStyle name="Output 2 6 6 2 2" xfId="42964" xr:uid="{00000000-0005-0000-0000-000054A80000}"/>
    <cellStyle name="Output 2 6 6 3" xfId="42965" xr:uid="{00000000-0005-0000-0000-000055A80000}"/>
    <cellStyle name="Output 2 6 7" xfId="42966" xr:uid="{00000000-0005-0000-0000-000056A80000}"/>
    <cellStyle name="Output 2 6 7 2" xfId="42967" xr:uid="{00000000-0005-0000-0000-000057A80000}"/>
    <cellStyle name="Output 2 6 8" xfId="42968" xr:uid="{00000000-0005-0000-0000-000058A80000}"/>
    <cellStyle name="Output 2 7" xfId="42969" xr:uid="{00000000-0005-0000-0000-000059A80000}"/>
    <cellStyle name="Output 2 7 2" xfId="42970" xr:uid="{00000000-0005-0000-0000-00005AA80000}"/>
    <cellStyle name="Output 2 7 2 2" xfId="42971" xr:uid="{00000000-0005-0000-0000-00005BA80000}"/>
    <cellStyle name="Output 2 7 2 2 2" xfId="42972" xr:uid="{00000000-0005-0000-0000-00005CA80000}"/>
    <cellStyle name="Output 2 7 2 3" xfId="42973" xr:uid="{00000000-0005-0000-0000-00005DA80000}"/>
    <cellStyle name="Output 2 7 3" xfId="42974" xr:uid="{00000000-0005-0000-0000-00005EA80000}"/>
    <cellStyle name="Output 2 7 3 2" xfId="42975" xr:uid="{00000000-0005-0000-0000-00005FA80000}"/>
    <cellStyle name="Output 2 7 3 2 2" xfId="42976" xr:uid="{00000000-0005-0000-0000-000060A80000}"/>
    <cellStyle name="Output 2 7 3 3" xfId="42977" xr:uid="{00000000-0005-0000-0000-000061A80000}"/>
    <cellStyle name="Output 2 7 4" xfId="42978" xr:uid="{00000000-0005-0000-0000-000062A80000}"/>
    <cellStyle name="Output 2 7 4 2" xfId="42979" xr:uid="{00000000-0005-0000-0000-000063A80000}"/>
    <cellStyle name="Output 2 7 4 2 2" xfId="42980" xr:uid="{00000000-0005-0000-0000-000064A80000}"/>
    <cellStyle name="Output 2 7 4 3" xfId="42981" xr:uid="{00000000-0005-0000-0000-000065A80000}"/>
    <cellStyle name="Output 2 7 5" xfId="42982" xr:uid="{00000000-0005-0000-0000-000066A80000}"/>
    <cellStyle name="Output 2 7 5 2" xfId="42983" xr:uid="{00000000-0005-0000-0000-000067A80000}"/>
    <cellStyle name="Output 2 7 6" xfId="42984" xr:uid="{00000000-0005-0000-0000-000068A80000}"/>
    <cellStyle name="Output 2 8" xfId="42985" xr:uid="{00000000-0005-0000-0000-000069A80000}"/>
    <cellStyle name="Output 2 8 2" xfId="42986" xr:uid="{00000000-0005-0000-0000-00006AA80000}"/>
    <cellStyle name="Output 2 8 2 2" xfId="42987" xr:uid="{00000000-0005-0000-0000-00006BA80000}"/>
    <cellStyle name="Output 2 8 2 2 2" xfId="42988" xr:uid="{00000000-0005-0000-0000-00006CA80000}"/>
    <cellStyle name="Output 2 8 2 2 2 2" xfId="42989" xr:uid="{00000000-0005-0000-0000-00006DA80000}"/>
    <cellStyle name="Output 2 8 2 2 3" xfId="42990" xr:uid="{00000000-0005-0000-0000-00006EA80000}"/>
    <cellStyle name="Output 2 8 2 3" xfId="42991" xr:uid="{00000000-0005-0000-0000-00006FA80000}"/>
    <cellStyle name="Output 2 8 2 3 2" xfId="42992" xr:uid="{00000000-0005-0000-0000-000070A80000}"/>
    <cellStyle name="Output 2 8 2 3 2 2" xfId="42993" xr:uid="{00000000-0005-0000-0000-000071A80000}"/>
    <cellStyle name="Output 2 8 2 3 3" xfId="42994" xr:uid="{00000000-0005-0000-0000-000072A80000}"/>
    <cellStyle name="Output 2 8 2 4" xfId="42995" xr:uid="{00000000-0005-0000-0000-000073A80000}"/>
    <cellStyle name="Output 2 8 2 4 2" xfId="42996" xr:uid="{00000000-0005-0000-0000-000074A80000}"/>
    <cellStyle name="Output 2 8 2 5" xfId="42997" xr:uid="{00000000-0005-0000-0000-000075A80000}"/>
    <cellStyle name="Output 2 8 3" xfId="42998" xr:uid="{00000000-0005-0000-0000-000076A80000}"/>
    <cellStyle name="Output 2 8 3 2" xfId="42999" xr:uid="{00000000-0005-0000-0000-000077A80000}"/>
    <cellStyle name="Output 2 8 3 2 2" xfId="43000" xr:uid="{00000000-0005-0000-0000-000078A80000}"/>
    <cellStyle name="Output 2 8 3 2 2 2" xfId="43001" xr:uid="{00000000-0005-0000-0000-000079A80000}"/>
    <cellStyle name="Output 2 8 3 2 3" xfId="43002" xr:uid="{00000000-0005-0000-0000-00007AA80000}"/>
    <cellStyle name="Output 2 8 3 3" xfId="43003" xr:uid="{00000000-0005-0000-0000-00007BA80000}"/>
    <cellStyle name="Output 2 8 3 3 2" xfId="43004" xr:uid="{00000000-0005-0000-0000-00007CA80000}"/>
    <cellStyle name="Output 2 8 3 4" xfId="43005" xr:uid="{00000000-0005-0000-0000-00007DA80000}"/>
    <cellStyle name="Output 2 8 4" xfId="43006" xr:uid="{00000000-0005-0000-0000-00007EA80000}"/>
    <cellStyle name="Output 2 8 4 2" xfId="43007" xr:uid="{00000000-0005-0000-0000-00007FA80000}"/>
    <cellStyle name="Output 2 8 4 2 2" xfId="43008" xr:uid="{00000000-0005-0000-0000-000080A80000}"/>
    <cellStyle name="Output 2 8 4 3" xfId="43009" xr:uid="{00000000-0005-0000-0000-000081A80000}"/>
    <cellStyle name="Output 2 8 5" xfId="43010" xr:uid="{00000000-0005-0000-0000-000082A80000}"/>
    <cellStyle name="Output 2 8 5 2" xfId="43011" xr:uid="{00000000-0005-0000-0000-000083A80000}"/>
    <cellStyle name="Output 2 8 5 2 2" xfId="43012" xr:uid="{00000000-0005-0000-0000-000084A80000}"/>
    <cellStyle name="Output 2 8 5 3" xfId="43013" xr:uid="{00000000-0005-0000-0000-000085A80000}"/>
    <cellStyle name="Output 2 8 6" xfId="43014" xr:uid="{00000000-0005-0000-0000-000086A80000}"/>
    <cellStyle name="Output 2 8 6 2" xfId="43015" xr:uid="{00000000-0005-0000-0000-000087A80000}"/>
    <cellStyle name="Output 2 8 7" xfId="43016" xr:uid="{00000000-0005-0000-0000-000088A80000}"/>
    <cellStyle name="Output 2 9" xfId="43017" xr:uid="{00000000-0005-0000-0000-000089A80000}"/>
    <cellStyle name="Output 2 9 2" xfId="43018" xr:uid="{00000000-0005-0000-0000-00008AA80000}"/>
    <cellStyle name="Output 2 9 2 2" xfId="43019" xr:uid="{00000000-0005-0000-0000-00008BA80000}"/>
    <cellStyle name="Output 2 9 2 2 2" xfId="43020" xr:uid="{00000000-0005-0000-0000-00008CA80000}"/>
    <cellStyle name="Output 2 9 2 3" xfId="43021" xr:uid="{00000000-0005-0000-0000-00008DA80000}"/>
    <cellStyle name="Output 2 9 3" xfId="43022" xr:uid="{00000000-0005-0000-0000-00008EA80000}"/>
    <cellStyle name="Output 2 9 3 2" xfId="43023" xr:uid="{00000000-0005-0000-0000-00008FA80000}"/>
    <cellStyle name="Output 2 9 4" xfId="43024" xr:uid="{00000000-0005-0000-0000-000090A80000}"/>
    <cellStyle name="Output 3" xfId="43025" xr:uid="{00000000-0005-0000-0000-000091A80000}"/>
    <cellStyle name="Output 3 2" xfId="43026" xr:uid="{00000000-0005-0000-0000-000092A80000}"/>
    <cellStyle name="Output 3 2 2" xfId="43027" xr:uid="{00000000-0005-0000-0000-000093A80000}"/>
    <cellStyle name="Output 3 2 2 2" xfId="43028" xr:uid="{00000000-0005-0000-0000-000094A80000}"/>
    <cellStyle name="Output 3 2 2 2 2" xfId="43029" xr:uid="{00000000-0005-0000-0000-000095A80000}"/>
    <cellStyle name="Output 3 2 2 3" xfId="43030" xr:uid="{00000000-0005-0000-0000-000096A80000}"/>
    <cellStyle name="Output 3 2 3" xfId="43031" xr:uid="{00000000-0005-0000-0000-000097A80000}"/>
    <cellStyle name="Output 3 2 3 2" xfId="43032" xr:uid="{00000000-0005-0000-0000-000098A80000}"/>
    <cellStyle name="Output 3 2 3 2 2" xfId="43033" xr:uid="{00000000-0005-0000-0000-000099A80000}"/>
    <cellStyle name="Output 3 2 3 3" xfId="43034" xr:uid="{00000000-0005-0000-0000-00009AA80000}"/>
    <cellStyle name="Output 3 2 4" xfId="43035" xr:uid="{00000000-0005-0000-0000-00009BA80000}"/>
    <cellStyle name="Output 3 2 4 2" xfId="43036" xr:uid="{00000000-0005-0000-0000-00009CA80000}"/>
    <cellStyle name="Output 3 2 4 2 2" xfId="43037" xr:uid="{00000000-0005-0000-0000-00009DA80000}"/>
    <cellStyle name="Output 3 2 4 3" xfId="43038" xr:uid="{00000000-0005-0000-0000-00009EA80000}"/>
    <cellStyle name="Output 3 2 5" xfId="43039" xr:uid="{00000000-0005-0000-0000-00009FA80000}"/>
    <cellStyle name="Output 3 2 5 2" xfId="43040" xr:uid="{00000000-0005-0000-0000-0000A0A80000}"/>
    <cellStyle name="Output 3 2 6" xfId="43041" xr:uid="{00000000-0005-0000-0000-0000A1A80000}"/>
    <cellStyle name="Output 3 3" xfId="43042" xr:uid="{00000000-0005-0000-0000-0000A2A80000}"/>
    <cellStyle name="Output 3 3 2" xfId="43043" xr:uid="{00000000-0005-0000-0000-0000A3A80000}"/>
    <cellStyle name="Output 3 3 2 2" xfId="43044" xr:uid="{00000000-0005-0000-0000-0000A4A80000}"/>
    <cellStyle name="Output 3 3 3" xfId="43045" xr:uid="{00000000-0005-0000-0000-0000A5A80000}"/>
    <cellStyle name="Output 3 3 3 2" xfId="43046" xr:uid="{00000000-0005-0000-0000-0000A6A80000}"/>
    <cellStyle name="Output 3 3 3 2 2" xfId="43047" xr:uid="{00000000-0005-0000-0000-0000A7A80000}"/>
    <cellStyle name="Output 3 3 3 3" xfId="43048" xr:uid="{00000000-0005-0000-0000-0000A8A80000}"/>
    <cellStyle name="Output 3 3 4" xfId="43049" xr:uid="{00000000-0005-0000-0000-0000A9A80000}"/>
    <cellStyle name="Output 3 3 4 2" xfId="43050" xr:uid="{00000000-0005-0000-0000-0000AAA80000}"/>
    <cellStyle name="Output 3 3 4 2 2" xfId="43051" xr:uid="{00000000-0005-0000-0000-0000ABA80000}"/>
    <cellStyle name="Output 3 3 4 3" xfId="43052" xr:uid="{00000000-0005-0000-0000-0000ACA80000}"/>
    <cellStyle name="Output 3 3 5" xfId="43053" xr:uid="{00000000-0005-0000-0000-0000ADA80000}"/>
    <cellStyle name="Output 3 4" xfId="43054" xr:uid="{00000000-0005-0000-0000-0000AEA80000}"/>
    <cellStyle name="Output 3 4 2" xfId="43055" xr:uid="{00000000-0005-0000-0000-0000AFA80000}"/>
    <cellStyle name="Output 3 4 2 2" xfId="43056" xr:uid="{00000000-0005-0000-0000-0000B0A80000}"/>
    <cellStyle name="Output 3 4 2 2 2" xfId="43057" xr:uid="{00000000-0005-0000-0000-0000B1A80000}"/>
    <cellStyle name="Output 3 4 2 3" xfId="43058" xr:uid="{00000000-0005-0000-0000-0000B2A80000}"/>
    <cellStyle name="Output 3 4 2 3 2" xfId="43059" xr:uid="{00000000-0005-0000-0000-0000B3A80000}"/>
    <cellStyle name="Output 3 4 2 3 2 2" xfId="43060" xr:uid="{00000000-0005-0000-0000-0000B4A80000}"/>
    <cellStyle name="Output 3 4 2 3 3" xfId="43061" xr:uid="{00000000-0005-0000-0000-0000B5A80000}"/>
    <cellStyle name="Output 3 4 2 4" xfId="43062" xr:uid="{00000000-0005-0000-0000-0000B6A80000}"/>
    <cellStyle name="Output 3 4 3" xfId="43063" xr:uid="{00000000-0005-0000-0000-0000B7A80000}"/>
    <cellStyle name="Output 3 4 3 2" xfId="43064" xr:uid="{00000000-0005-0000-0000-0000B8A80000}"/>
    <cellStyle name="Output 3 4 3 2 2" xfId="43065" xr:uid="{00000000-0005-0000-0000-0000B9A80000}"/>
    <cellStyle name="Output 3 4 3 3" xfId="43066" xr:uid="{00000000-0005-0000-0000-0000BAA80000}"/>
    <cellStyle name="Output 3 4 4" xfId="43067" xr:uid="{00000000-0005-0000-0000-0000BBA80000}"/>
    <cellStyle name="Output 3 4 4 2" xfId="43068" xr:uid="{00000000-0005-0000-0000-0000BCA80000}"/>
    <cellStyle name="Output 3 4 4 2 2" xfId="43069" xr:uid="{00000000-0005-0000-0000-0000BDA80000}"/>
    <cellStyle name="Output 3 4 4 3" xfId="43070" xr:uid="{00000000-0005-0000-0000-0000BEA80000}"/>
    <cellStyle name="Output 3 4 5" xfId="43071" xr:uid="{00000000-0005-0000-0000-0000BFA80000}"/>
    <cellStyle name="Output 3 4 5 2" xfId="43072" xr:uid="{00000000-0005-0000-0000-0000C0A80000}"/>
    <cellStyle name="Output 3 4 5 2 2" xfId="43073" xr:uid="{00000000-0005-0000-0000-0000C1A80000}"/>
    <cellStyle name="Output 3 4 5 3" xfId="43074" xr:uid="{00000000-0005-0000-0000-0000C2A80000}"/>
    <cellStyle name="Output 3 4 6" xfId="43075" xr:uid="{00000000-0005-0000-0000-0000C3A80000}"/>
    <cellStyle name="Output 3 5" xfId="43076" xr:uid="{00000000-0005-0000-0000-0000C4A80000}"/>
    <cellStyle name="Output 3 5 2" xfId="43077" xr:uid="{00000000-0005-0000-0000-0000C5A80000}"/>
    <cellStyle name="Output 3 5 2 2" xfId="43078" xr:uid="{00000000-0005-0000-0000-0000C6A80000}"/>
    <cellStyle name="Output 3 5 3" xfId="43079" xr:uid="{00000000-0005-0000-0000-0000C7A80000}"/>
    <cellStyle name="Output 3 6" xfId="43080" xr:uid="{00000000-0005-0000-0000-0000C8A80000}"/>
    <cellStyle name="Output 3 6 2" xfId="43081" xr:uid="{00000000-0005-0000-0000-0000C9A80000}"/>
    <cellStyle name="Output 3 6 2 2" xfId="43082" xr:uid="{00000000-0005-0000-0000-0000CAA80000}"/>
    <cellStyle name="Output 3 6 3" xfId="43083" xr:uid="{00000000-0005-0000-0000-0000CBA80000}"/>
    <cellStyle name="Output 3 7" xfId="43084" xr:uid="{00000000-0005-0000-0000-0000CCA80000}"/>
    <cellStyle name="Output 3 7 2" xfId="43085" xr:uid="{00000000-0005-0000-0000-0000CDA80000}"/>
    <cellStyle name="Output 3 7 2 2" xfId="43086" xr:uid="{00000000-0005-0000-0000-0000CEA80000}"/>
    <cellStyle name="Output 3 7 3" xfId="43087" xr:uid="{00000000-0005-0000-0000-0000CFA80000}"/>
    <cellStyle name="Output 3 8" xfId="43088" xr:uid="{00000000-0005-0000-0000-0000D0A80000}"/>
    <cellStyle name="Output 4" xfId="43089" xr:uid="{00000000-0005-0000-0000-0000D1A80000}"/>
    <cellStyle name="Output 4 2" xfId="43090" xr:uid="{00000000-0005-0000-0000-0000D2A80000}"/>
    <cellStyle name="Output 4 2 2" xfId="43091" xr:uid="{00000000-0005-0000-0000-0000D3A80000}"/>
    <cellStyle name="Output 4 2 2 2" xfId="43092" xr:uid="{00000000-0005-0000-0000-0000D4A80000}"/>
    <cellStyle name="Output 4 2 3" xfId="43093" xr:uid="{00000000-0005-0000-0000-0000D5A80000}"/>
    <cellStyle name="Output 4 2 3 2" xfId="43094" xr:uid="{00000000-0005-0000-0000-0000D6A80000}"/>
    <cellStyle name="Output 4 2 3 2 2" xfId="43095" xr:uid="{00000000-0005-0000-0000-0000D7A80000}"/>
    <cellStyle name="Output 4 2 3 3" xfId="43096" xr:uid="{00000000-0005-0000-0000-0000D8A80000}"/>
    <cellStyle name="Output 4 2 4" xfId="43097" xr:uid="{00000000-0005-0000-0000-0000D9A80000}"/>
    <cellStyle name="Output 4 2 4 2" xfId="43098" xr:uid="{00000000-0005-0000-0000-0000DAA80000}"/>
    <cellStyle name="Output 4 2 4 2 2" xfId="43099" xr:uid="{00000000-0005-0000-0000-0000DBA80000}"/>
    <cellStyle name="Output 4 2 4 3" xfId="43100" xr:uid="{00000000-0005-0000-0000-0000DCA80000}"/>
    <cellStyle name="Output 4 2 5" xfId="43101" xr:uid="{00000000-0005-0000-0000-0000DDA80000}"/>
    <cellStyle name="Output 4 3" xfId="43102" xr:uid="{00000000-0005-0000-0000-0000DEA80000}"/>
    <cellStyle name="Output 4 3 2" xfId="43103" xr:uid="{00000000-0005-0000-0000-0000DFA80000}"/>
    <cellStyle name="Output 4 3 2 2" xfId="43104" xr:uid="{00000000-0005-0000-0000-0000E0A80000}"/>
    <cellStyle name="Output 4 3 2 2 2" xfId="43105" xr:uid="{00000000-0005-0000-0000-0000E1A80000}"/>
    <cellStyle name="Output 4 3 2 3" xfId="43106" xr:uid="{00000000-0005-0000-0000-0000E2A80000}"/>
    <cellStyle name="Output 4 3 2 3 2" xfId="43107" xr:uid="{00000000-0005-0000-0000-0000E3A80000}"/>
    <cellStyle name="Output 4 3 2 3 2 2" xfId="43108" xr:uid="{00000000-0005-0000-0000-0000E4A80000}"/>
    <cellStyle name="Output 4 3 2 3 3" xfId="43109" xr:uid="{00000000-0005-0000-0000-0000E5A80000}"/>
    <cellStyle name="Output 4 3 2 4" xfId="43110" xr:uid="{00000000-0005-0000-0000-0000E6A80000}"/>
    <cellStyle name="Output 4 3 3" xfId="43111" xr:uid="{00000000-0005-0000-0000-0000E7A80000}"/>
    <cellStyle name="Output 4 3 3 2" xfId="43112" xr:uid="{00000000-0005-0000-0000-0000E8A80000}"/>
    <cellStyle name="Output 4 3 3 2 2" xfId="43113" xr:uid="{00000000-0005-0000-0000-0000E9A80000}"/>
    <cellStyle name="Output 4 3 3 3" xfId="43114" xr:uid="{00000000-0005-0000-0000-0000EAA80000}"/>
    <cellStyle name="Output 4 3 4" xfId="43115" xr:uid="{00000000-0005-0000-0000-0000EBA80000}"/>
    <cellStyle name="Output 4 3 4 2" xfId="43116" xr:uid="{00000000-0005-0000-0000-0000ECA80000}"/>
    <cellStyle name="Output 4 3 4 2 2" xfId="43117" xr:uid="{00000000-0005-0000-0000-0000EDA80000}"/>
    <cellStyle name="Output 4 3 4 3" xfId="43118" xr:uid="{00000000-0005-0000-0000-0000EEA80000}"/>
    <cellStyle name="Output 4 3 5" xfId="43119" xr:uid="{00000000-0005-0000-0000-0000EFA80000}"/>
    <cellStyle name="Output 4 3 5 2" xfId="43120" xr:uid="{00000000-0005-0000-0000-0000F0A80000}"/>
    <cellStyle name="Output 4 3 5 2 2" xfId="43121" xr:uid="{00000000-0005-0000-0000-0000F1A80000}"/>
    <cellStyle name="Output 4 3 5 3" xfId="43122" xr:uid="{00000000-0005-0000-0000-0000F2A80000}"/>
    <cellStyle name="Output 4 3 6" xfId="43123" xr:uid="{00000000-0005-0000-0000-0000F3A80000}"/>
    <cellStyle name="Output 4 4" xfId="43124" xr:uid="{00000000-0005-0000-0000-0000F4A80000}"/>
    <cellStyle name="Output 4 4 2" xfId="43125" xr:uid="{00000000-0005-0000-0000-0000F5A80000}"/>
    <cellStyle name="Output 4 4 2 2" xfId="43126" xr:uid="{00000000-0005-0000-0000-0000F6A80000}"/>
    <cellStyle name="Output 4 4 3" xfId="43127" xr:uid="{00000000-0005-0000-0000-0000F7A80000}"/>
    <cellStyle name="Output 4 5" xfId="43128" xr:uid="{00000000-0005-0000-0000-0000F8A80000}"/>
    <cellStyle name="Output 4 5 2" xfId="43129" xr:uid="{00000000-0005-0000-0000-0000F9A80000}"/>
    <cellStyle name="Output 4 5 2 2" xfId="43130" xr:uid="{00000000-0005-0000-0000-0000FAA80000}"/>
    <cellStyle name="Output 4 5 3" xfId="43131" xr:uid="{00000000-0005-0000-0000-0000FBA80000}"/>
    <cellStyle name="Output 4 6" xfId="43132" xr:uid="{00000000-0005-0000-0000-0000FCA80000}"/>
    <cellStyle name="Output 4 6 2" xfId="43133" xr:uid="{00000000-0005-0000-0000-0000FDA80000}"/>
    <cellStyle name="Output 4 6 2 2" xfId="43134" xr:uid="{00000000-0005-0000-0000-0000FEA80000}"/>
    <cellStyle name="Output 4 6 3" xfId="43135" xr:uid="{00000000-0005-0000-0000-0000FFA80000}"/>
    <cellStyle name="Output 4 7" xfId="43136" xr:uid="{00000000-0005-0000-0000-000000A90000}"/>
    <cellStyle name="Output 5" xfId="43137" xr:uid="{00000000-0005-0000-0000-000001A90000}"/>
    <cellStyle name="Output 5 2" xfId="43138" xr:uid="{00000000-0005-0000-0000-000002A90000}"/>
    <cellStyle name="Output 5 2 2" xfId="43139" xr:uid="{00000000-0005-0000-0000-000003A90000}"/>
    <cellStyle name="Output 5 2 2 2" xfId="43140" xr:uid="{00000000-0005-0000-0000-000004A90000}"/>
    <cellStyle name="Output 5 2 2 2 2" xfId="43141" xr:uid="{00000000-0005-0000-0000-000005A90000}"/>
    <cellStyle name="Output 5 2 2 3" xfId="43142" xr:uid="{00000000-0005-0000-0000-000006A90000}"/>
    <cellStyle name="Output 5 2 3" xfId="43143" xr:uid="{00000000-0005-0000-0000-000007A90000}"/>
    <cellStyle name="Output 5 2 3 2" xfId="43144" xr:uid="{00000000-0005-0000-0000-000008A90000}"/>
    <cellStyle name="Output 5 2 3 2 2" xfId="43145" xr:uid="{00000000-0005-0000-0000-000009A90000}"/>
    <cellStyle name="Output 5 2 3 3" xfId="43146" xr:uid="{00000000-0005-0000-0000-00000AA90000}"/>
    <cellStyle name="Output 5 2 4" xfId="43147" xr:uid="{00000000-0005-0000-0000-00000BA90000}"/>
    <cellStyle name="Output 5 2 4 2" xfId="43148" xr:uid="{00000000-0005-0000-0000-00000CA90000}"/>
    <cellStyle name="Output 5 2 4 2 2" xfId="43149" xr:uid="{00000000-0005-0000-0000-00000DA90000}"/>
    <cellStyle name="Output 5 2 4 3" xfId="43150" xr:uid="{00000000-0005-0000-0000-00000EA90000}"/>
    <cellStyle name="Output 5 2 5" xfId="43151" xr:uid="{00000000-0005-0000-0000-00000FA90000}"/>
    <cellStyle name="Output 5 2 5 2" xfId="43152" xr:uid="{00000000-0005-0000-0000-000010A90000}"/>
    <cellStyle name="Output 5 2 6" xfId="43153" xr:uid="{00000000-0005-0000-0000-000011A90000}"/>
    <cellStyle name="Output 5 3" xfId="43154" xr:uid="{00000000-0005-0000-0000-000012A90000}"/>
    <cellStyle name="Output 5 3 2" xfId="43155" xr:uid="{00000000-0005-0000-0000-000013A90000}"/>
    <cellStyle name="Output 5 3 2 2" xfId="43156" xr:uid="{00000000-0005-0000-0000-000014A90000}"/>
    <cellStyle name="Output 5 3 2 2 2" xfId="43157" xr:uid="{00000000-0005-0000-0000-000015A90000}"/>
    <cellStyle name="Output 5 3 2 2 2 2" xfId="43158" xr:uid="{00000000-0005-0000-0000-000016A90000}"/>
    <cellStyle name="Output 5 3 2 2 3" xfId="43159" xr:uid="{00000000-0005-0000-0000-000017A90000}"/>
    <cellStyle name="Output 5 3 2 3" xfId="43160" xr:uid="{00000000-0005-0000-0000-000018A90000}"/>
    <cellStyle name="Output 5 3 2 3 2" xfId="43161" xr:uid="{00000000-0005-0000-0000-000019A90000}"/>
    <cellStyle name="Output 5 3 2 3 2 2" xfId="43162" xr:uid="{00000000-0005-0000-0000-00001AA90000}"/>
    <cellStyle name="Output 5 3 2 3 3" xfId="43163" xr:uid="{00000000-0005-0000-0000-00001BA90000}"/>
    <cellStyle name="Output 5 3 2 4" xfId="43164" xr:uid="{00000000-0005-0000-0000-00001CA90000}"/>
    <cellStyle name="Output 5 3 2 4 2" xfId="43165" xr:uid="{00000000-0005-0000-0000-00001DA90000}"/>
    <cellStyle name="Output 5 3 2 5" xfId="43166" xr:uid="{00000000-0005-0000-0000-00001EA90000}"/>
    <cellStyle name="Output 5 3 3" xfId="43167" xr:uid="{00000000-0005-0000-0000-00001FA90000}"/>
    <cellStyle name="Output 5 3 3 2" xfId="43168" xr:uid="{00000000-0005-0000-0000-000020A90000}"/>
    <cellStyle name="Output 5 3 3 2 2" xfId="43169" xr:uid="{00000000-0005-0000-0000-000021A90000}"/>
    <cellStyle name="Output 5 3 3 2 2 2" xfId="43170" xr:uid="{00000000-0005-0000-0000-000022A90000}"/>
    <cellStyle name="Output 5 3 3 2 3" xfId="43171" xr:uid="{00000000-0005-0000-0000-000023A90000}"/>
    <cellStyle name="Output 5 3 3 3" xfId="43172" xr:uid="{00000000-0005-0000-0000-000024A90000}"/>
    <cellStyle name="Output 5 3 3 3 2" xfId="43173" xr:uid="{00000000-0005-0000-0000-000025A90000}"/>
    <cellStyle name="Output 5 3 3 4" xfId="43174" xr:uid="{00000000-0005-0000-0000-000026A90000}"/>
    <cellStyle name="Output 5 3 4" xfId="43175" xr:uid="{00000000-0005-0000-0000-000027A90000}"/>
    <cellStyle name="Output 5 3 4 2" xfId="43176" xr:uid="{00000000-0005-0000-0000-000028A90000}"/>
    <cellStyle name="Output 5 3 4 2 2" xfId="43177" xr:uid="{00000000-0005-0000-0000-000029A90000}"/>
    <cellStyle name="Output 5 3 4 3" xfId="43178" xr:uid="{00000000-0005-0000-0000-00002AA90000}"/>
    <cellStyle name="Output 5 3 5" xfId="43179" xr:uid="{00000000-0005-0000-0000-00002BA90000}"/>
    <cellStyle name="Output 5 3 5 2" xfId="43180" xr:uid="{00000000-0005-0000-0000-00002CA90000}"/>
    <cellStyle name="Output 5 3 5 2 2" xfId="43181" xr:uid="{00000000-0005-0000-0000-00002DA90000}"/>
    <cellStyle name="Output 5 3 5 3" xfId="43182" xr:uid="{00000000-0005-0000-0000-00002EA90000}"/>
    <cellStyle name="Output 5 3 6" xfId="43183" xr:uid="{00000000-0005-0000-0000-00002FA90000}"/>
    <cellStyle name="Output 5 3 6 2" xfId="43184" xr:uid="{00000000-0005-0000-0000-000030A90000}"/>
    <cellStyle name="Output 5 3 7" xfId="43185" xr:uid="{00000000-0005-0000-0000-000031A90000}"/>
    <cellStyle name="Output 5 4" xfId="43186" xr:uid="{00000000-0005-0000-0000-000032A90000}"/>
    <cellStyle name="Output 5 4 2" xfId="43187" xr:uid="{00000000-0005-0000-0000-000033A90000}"/>
    <cellStyle name="Output 5 4 2 2" xfId="43188" xr:uid="{00000000-0005-0000-0000-000034A90000}"/>
    <cellStyle name="Output 5 4 2 2 2" xfId="43189" xr:uid="{00000000-0005-0000-0000-000035A90000}"/>
    <cellStyle name="Output 5 4 2 3" xfId="43190" xr:uid="{00000000-0005-0000-0000-000036A90000}"/>
    <cellStyle name="Output 5 4 3" xfId="43191" xr:uid="{00000000-0005-0000-0000-000037A90000}"/>
    <cellStyle name="Output 5 4 3 2" xfId="43192" xr:uid="{00000000-0005-0000-0000-000038A90000}"/>
    <cellStyle name="Output 5 4 4" xfId="43193" xr:uid="{00000000-0005-0000-0000-000039A90000}"/>
    <cellStyle name="Output 5 5" xfId="43194" xr:uid="{00000000-0005-0000-0000-00003AA90000}"/>
    <cellStyle name="Output 5 5 2" xfId="43195" xr:uid="{00000000-0005-0000-0000-00003BA90000}"/>
    <cellStyle name="Output 5 5 2 2" xfId="43196" xr:uid="{00000000-0005-0000-0000-00003CA90000}"/>
    <cellStyle name="Output 5 5 3" xfId="43197" xr:uid="{00000000-0005-0000-0000-00003DA90000}"/>
    <cellStyle name="Output 5 6" xfId="43198" xr:uid="{00000000-0005-0000-0000-00003EA90000}"/>
    <cellStyle name="Output 5 6 2" xfId="43199" xr:uid="{00000000-0005-0000-0000-00003FA90000}"/>
    <cellStyle name="Output 5 6 2 2" xfId="43200" xr:uid="{00000000-0005-0000-0000-000040A90000}"/>
    <cellStyle name="Output 5 6 3" xfId="43201" xr:uid="{00000000-0005-0000-0000-000041A90000}"/>
    <cellStyle name="Output 5 7" xfId="43202" xr:uid="{00000000-0005-0000-0000-000042A90000}"/>
    <cellStyle name="Output 5 7 2" xfId="43203" xr:uid="{00000000-0005-0000-0000-000043A90000}"/>
    <cellStyle name="Output 5 8" xfId="43204" xr:uid="{00000000-0005-0000-0000-000044A90000}"/>
    <cellStyle name="Output 6" xfId="43205" xr:uid="{00000000-0005-0000-0000-000045A90000}"/>
    <cellStyle name="Output 6 2" xfId="43206" xr:uid="{00000000-0005-0000-0000-000046A90000}"/>
    <cellStyle name="Output 6 2 2" xfId="43207" xr:uid="{00000000-0005-0000-0000-000047A90000}"/>
    <cellStyle name="Output 6 2 2 2" xfId="43208" xr:uid="{00000000-0005-0000-0000-000048A90000}"/>
    <cellStyle name="Output 6 2 2 2 2" xfId="43209" xr:uid="{00000000-0005-0000-0000-000049A90000}"/>
    <cellStyle name="Output 6 2 2 3" xfId="43210" xr:uid="{00000000-0005-0000-0000-00004AA90000}"/>
    <cellStyle name="Output 6 2 3" xfId="43211" xr:uid="{00000000-0005-0000-0000-00004BA90000}"/>
    <cellStyle name="Output 6 2 3 2" xfId="43212" xr:uid="{00000000-0005-0000-0000-00004CA90000}"/>
    <cellStyle name="Output 6 2 3 2 2" xfId="43213" xr:uid="{00000000-0005-0000-0000-00004DA90000}"/>
    <cellStyle name="Output 6 2 3 3" xfId="43214" xr:uid="{00000000-0005-0000-0000-00004EA90000}"/>
    <cellStyle name="Output 6 2 4" xfId="43215" xr:uid="{00000000-0005-0000-0000-00004FA90000}"/>
    <cellStyle name="Output 6 2 4 2" xfId="43216" xr:uid="{00000000-0005-0000-0000-000050A90000}"/>
    <cellStyle name="Output 6 2 4 2 2" xfId="43217" xr:uid="{00000000-0005-0000-0000-000051A90000}"/>
    <cellStyle name="Output 6 2 4 3" xfId="43218" xr:uid="{00000000-0005-0000-0000-000052A90000}"/>
    <cellStyle name="Output 6 2 5" xfId="43219" xr:uid="{00000000-0005-0000-0000-000053A90000}"/>
    <cellStyle name="Output 6 2 5 2" xfId="43220" xr:uid="{00000000-0005-0000-0000-000054A90000}"/>
    <cellStyle name="Output 6 2 6" xfId="43221" xr:uid="{00000000-0005-0000-0000-000055A90000}"/>
    <cellStyle name="Output 6 3" xfId="43222" xr:uid="{00000000-0005-0000-0000-000056A90000}"/>
    <cellStyle name="Output 6 3 2" xfId="43223" xr:uid="{00000000-0005-0000-0000-000057A90000}"/>
    <cellStyle name="Output 6 3 2 2" xfId="43224" xr:uid="{00000000-0005-0000-0000-000058A90000}"/>
    <cellStyle name="Output 6 3 2 2 2" xfId="43225" xr:uid="{00000000-0005-0000-0000-000059A90000}"/>
    <cellStyle name="Output 6 3 2 3" xfId="43226" xr:uid="{00000000-0005-0000-0000-00005AA90000}"/>
    <cellStyle name="Output 6 3 3" xfId="43227" xr:uid="{00000000-0005-0000-0000-00005BA90000}"/>
    <cellStyle name="Output 6 3 3 2" xfId="43228" xr:uid="{00000000-0005-0000-0000-00005CA90000}"/>
    <cellStyle name="Output 6 3 4" xfId="43229" xr:uid="{00000000-0005-0000-0000-00005DA90000}"/>
    <cellStyle name="Output 6 4" xfId="43230" xr:uid="{00000000-0005-0000-0000-00005EA90000}"/>
    <cellStyle name="Output 6 4 2" xfId="43231" xr:uid="{00000000-0005-0000-0000-00005FA90000}"/>
    <cellStyle name="Output 6 4 2 2" xfId="43232" xr:uid="{00000000-0005-0000-0000-000060A90000}"/>
    <cellStyle name="Output 6 4 3" xfId="43233" xr:uid="{00000000-0005-0000-0000-000061A90000}"/>
    <cellStyle name="Output 6 5" xfId="43234" xr:uid="{00000000-0005-0000-0000-000062A90000}"/>
    <cellStyle name="Output 6 5 2" xfId="43235" xr:uid="{00000000-0005-0000-0000-000063A90000}"/>
    <cellStyle name="Output 6 5 2 2" xfId="43236" xr:uid="{00000000-0005-0000-0000-000064A90000}"/>
    <cellStyle name="Output 6 5 3" xfId="43237" xr:uid="{00000000-0005-0000-0000-000065A90000}"/>
    <cellStyle name="Output 6 6" xfId="43238" xr:uid="{00000000-0005-0000-0000-000066A90000}"/>
    <cellStyle name="Output 6 6 2" xfId="43239" xr:uid="{00000000-0005-0000-0000-000067A90000}"/>
    <cellStyle name="Output 6 7" xfId="43240" xr:uid="{00000000-0005-0000-0000-000068A90000}"/>
    <cellStyle name="Output 7" xfId="43241" xr:uid="{00000000-0005-0000-0000-000069A90000}"/>
    <cellStyle name="Output 7 2" xfId="43242" xr:uid="{00000000-0005-0000-0000-00006AA90000}"/>
    <cellStyle name="Output 8" xfId="43243" xr:uid="{00000000-0005-0000-0000-00006BA90000}"/>
    <cellStyle name="Output 8 2" xfId="43244" xr:uid="{00000000-0005-0000-0000-00006CA90000}"/>
    <cellStyle name="Output 9" xfId="43245" xr:uid="{00000000-0005-0000-0000-00006DA90000}"/>
    <cellStyle name="pct2" xfId="43246" xr:uid="{00000000-0005-0000-0000-00006EA90000}"/>
    <cellStyle name="pct2 2" xfId="43247" xr:uid="{00000000-0005-0000-0000-00006FA90000}"/>
    <cellStyle name="pct2 3" xfId="43248" xr:uid="{00000000-0005-0000-0000-000070A90000}"/>
    <cellStyle name="pct2 3 2" xfId="43249" xr:uid="{00000000-0005-0000-0000-000071A90000}"/>
    <cellStyle name="pct2 3 2 2" xfId="43250" xr:uid="{00000000-0005-0000-0000-000072A90000}"/>
    <cellStyle name="pct2 3 3" xfId="43251" xr:uid="{00000000-0005-0000-0000-000073A90000}"/>
    <cellStyle name="pct2 4" xfId="43252" xr:uid="{00000000-0005-0000-0000-000074A90000}"/>
    <cellStyle name="pct2 4 2" xfId="43253" xr:uid="{00000000-0005-0000-0000-000075A90000}"/>
    <cellStyle name="pct2 4 2 2" xfId="43254" xr:uid="{00000000-0005-0000-0000-000076A90000}"/>
    <cellStyle name="pct2 4 3" xfId="43255" xr:uid="{00000000-0005-0000-0000-000077A90000}"/>
    <cellStyle name="PctNoZero" xfId="43256" xr:uid="{00000000-0005-0000-0000-000078A90000}"/>
    <cellStyle name="PctNoZero 2" xfId="43257" xr:uid="{00000000-0005-0000-0000-000079A90000}"/>
    <cellStyle name="PctNoZero 3" xfId="43258" xr:uid="{00000000-0005-0000-0000-00007AA90000}"/>
    <cellStyle name="PctNoZero 3 2" xfId="43259" xr:uid="{00000000-0005-0000-0000-00007BA90000}"/>
    <cellStyle name="PctNoZero 3 2 2" xfId="43260" xr:uid="{00000000-0005-0000-0000-00007CA90000}"/>
    <cellStyle name="PctNoZero 3 3" xfId="43261" xr:uid="{00000000-0005-0000-0000-00007DA90000}"/>
    <cellStyle name="PctNoZero 4" xfId="43262" xr:uid="{00000000-0005-0000-0000-00007EA90000}"/>
    <cellStyle name="PctNoZero 4 2" xfId="43263" xr:uid="{00000000-0005-0000-0000-00007FA90000}"/>
    <cellStyle name="PctNoZero 4 2 2" xfId="43264" xr:uid="{00000000-0005-0000-0000-000080A90000}"/>
    <cellStyle name="PctNoZero 4 3" xfId="43265" xr:uid="{00000000-0005-0000-0000-000081A90000}"/>
    <cellStyle name="per.style" xfId="43266" xr:uid="{00000000-0005-0000-0000-000082A90000}"/>
    <cellStyle name="per.style 2" xfId="43267" xr:uid="{00000000-0005-0000-0000-000083A90000}"/>
    <cellStyle name="per.style 2 2" xfId="43268" xr:uid="{00000000-0005-0000-0000-000084A90000}"/>
    <cellStyle name="per.style 2 3" xfId="43269" xr:uid="{00000000-0005-0000-0000-000085A90000}"/>
    <cellStyle name="per.style 2 3 2" xfId="43270" xr:uid="{00000000-0005-0000-0000-000086A90000}"/>
    <cellStyle name="per.style 2 3 2 2" xfId="43271" xr:uid="{00000000-0005-0000-0000-000087A90000}"/>
    <cellStyle name="per.style 2 3 3" xfId="43272" xr:uid="{00000000-0005-0000-0000-000088A90000}"/>
    <cellStyle name="per.style 2 4" xfId="43273" xr:uid="{00000000-0005-0000-0000-000089A90000}"/>
    <cellStyle name="per.style 2 4 2" xfId="43274" xr:uid="{00000000-0005-0000-0000-00008AA90000}"/>
    <cellStyle name="per.style 2 4 2 2" xfId="43275" xr:uid="{00000000-0005-0000-0000-00008BA90000}"/>
    <cellStyle name="per.style 2 4 3" xfId="43276" xr:uid="{00000000-0005-0000-0000-00008CA90000}"/>
    <cellStyle name="per.style 3" xfId="43277" xr:uid="{00000000-0005-0000-0000-00008DA90000}"/>
    <cellStyle name="per.style 4" xfId="43278" xr:uid="{00000000-0005-0000-0000-00008EA90000}"/>
    <cellStyle name="per.style 4 2" xfId="43279" xr:uid="{00000000-0005-0000-0000-00008FA90000}"/>
    <cellStyle name="per.style 4 2 2" xfId="43280" xr:uid="{00000000-0005-0000-0000-000090A90000}"/>
    <cellStyle name="per.style 4 3" xfId="43281" xr:uid="{00000000-0005-0000-0000-000091A90000}"/>
    <cellStyle name="per.style 5" xfId="43282" xr:uid="{00000000-0005-0000-0000-000092A90000}"/>
    <cellStyle name="per.style 5 2" xfId="43283" xr:uid="{00000000-0005-0000-0000-000093A90000}"/>
    <cellStyle name="per.style 5 2 2" xfId="43284" xr:uid="{00000000-0005-0000-0000-000094A90000}"/>
    <cellStyle name="per.style 5 3" xfId="43285" xr:uid="{00000000-0005-0000-0000-000095A90000}"/>
    <cellStyle name="Percent" xfId="37" builtinId="5"/>
    <cellStyle name="Percent (0.0%)" xfId="43286" xr:uid="{00000000-0005-0000-0000-000097A90000}"/>
    <cellStyle name="Percent (0.0%) 2" xfId="43287" xr:uid="{00000000-0005-0000-0000-000098A90000}"/>
    <cellStyle name="Percent (0.0%) 3" xfId="43288" xr:uid="{00000000-0005-0000-0000-000099A90000}"/>
    <cellStyle name="Percent (0.0%) 3 2" xfId="43289" xr:uid="{00000000-0005-0000-0000-00009AA90000}"/>
    <cellStyle name="Percent (0.0%) 3 2 2" xfId="43290" xr:uid="{00000000-0005-0000-0000-00009BA90000}"/>
    <cellStyle name="Percent (0.0%) 3 3" xfId="43291" xr:uid="{00000000-0005-0000-0000-00009CA90000}"/>
    <cellStyle name="Percent (0.0%) 4" xfId="43292" xr:uid="{00000000-0005-0000-0000-00009DA90000}"/>
    <cellStyle name="Percent (0.0%) 4 2" xfId="43293" xr:uid="{00000000-0005-0000-0000-00009EA90000}"/>
    <cellStyle name="Percent (0.0%) 4 2 2" xfId="43294" xr:uid="{00000000-0005-0000-0000-00009FA90000}"/>
    <cellStyle name="Percent (0.0%) 4 3" xfId="43295" xr:uid="{00000000-0005-0000-0000-0000A0A90000}"/>
    <cellStyle name="Percent [2]" xfId="43296" xr:uid="{00000000-0005-0000-0000-0000A1A90000}"/>
    <cellStyle name="Percent [2] 2" xfId="43297" xr:uid="{00000000-0005-0000-0000-0000A2A90000}"/>
    <cellStyle name="Percent [2] 2 2" xfId="43298" xr:uid="{00000000-0005-0000-0000-0000A3A90000}"/>
    <cellStyle name="Percent [2] 2 3" xfId="43299" xr:uid="{00000000-0005-0000-0000-0000A4A90000}"/>
    <cellStyle name="Percent [2] 2 3 2" xfId="43300" xr:uid="{00000000-0005-0000-0000-0000A5A90000}"/>
    <cellStyle name="Percent [2] 2 3 2 2" xfId="43301" xr:uid="{00000000-0005-0000-0000-0000A6A90000}"/>
    <cellStyle name="Percent [2] 2 3 3" xfId="43302" xr:uid="{00000000-0005-0000-0000-0000A7A90000}"/>
    <cellStyle name="Percent [2] 2 4" xfId="43303" xr:uid="{00000000-0005-0000-0000-0000A8A90000}"/>
    <cellStyle name="Percent [2] 2 4 2" xfId="43304" xr:uid="{00000000-0005-0000-0000-0000A9A90000}"/>
    <cellStyle name="Percent [2] 2 4 2 2" xfId="43305" xr:uid="{00000000-0005-0000-0000-0000AAA90000}"/>
    <cellStyle name="Percent [2] 2 4 3" xfId="43306" xr:uid="{00000000-0005-0000-0000-0000ABA90000}"/>
    <cellStyle name="Percent [2] 3" xfId="43307" xr:uid="{00000000-0005-0000-0000-0000ACA90000}"/>
    <cellStyle name="Percent [2] 4" xfId="43308" xr:uid="{00000000-0005-0000-0000-0000ADA90000}"/>
    <cellStyle name="Percent [2] 4 2" xfId="43309" xr:uid="{00000000-0005-0000-0000-0000AEA90000}"/>
    <cellStyle name="Percent [2] 4 2 2" xfId="43310" xr:uid="{00000000-0005-0000-0000-0000AFA90000}"/>
    <cellStyle name="Percent [2] 4 3" xfId="43311" xr:uid="{00000000-0005-0000-0000-0000B0A90000}"/>
    <cellStyle name="Percent [2] 5" xfId="43312" xr:uid="{00000000-0005-0000-0000-0000B1A90000}"/>
    <cellStyle name="Percent [2] 5 2" xfId="43313" xr:uid="{00000000-0005-0000-0000-0000B2A90000}"/>
    <cellStyle name="Percent [2] 5 2 2" xfId="43314" xr:uid="{00000000-0005-0000-0000-0000B3A90000}"/>
    <cellStyle name="Percent [2] 5 3" xfId="43315" xr:uid="{00000000-0005-0000-0000-0000B4A90000}"/>
    <cellStyle name="Percent 10" xfId="43316" xr:uid="{00000000-0005-0000-0000-0000B5A90000}"/>
    <cellStyle name="Percent 10 2" xfId="43317" xr:uid="{00000000-0005-0000-0000-0000B6A90000}"/>
    <cellStyle name="Percent 10 3" xfId="43318" xr:uid="{00000000-0005-0000-0000-0000B7A90000}"/>
    <cellStyle name="Percent 10 3 2" xfId="43319" xr:uid="{00000000-0005-0000-0000-0000B8A90000}"/>
    <cellStyle name="Percent 10 3 2 2" xfId="43320" xr:uid="{00000000-0005-0000-0000-0000B9A90000}"/>
    <cellStyle name="Percent 10 3 3" xfId="43321" xr:uid="{00000000-0005-0000-0000-0000BAA90000}"/>
    <cellStyle name="Percent 10 4" xfId="43322" xr:uid="{00000000-0005-0000-0000-0000BBA90000}"/>
    <cellStyle name="Percent 10 4 2" xfId="43323" xr:uid="{00000000-0005-0000-0000-0000BCA90000}"/>
    <cellStyle name="Percent 10 4 2 2" xfId="43324" xr:uid="{00000000-0005-0000-0000-0000BDA90000}"/>
    <cellStyle name="Percent 10 4 3" xfId="43325" xr:uid="{00000000-0005-0000-0000-0000BEA90000}"/>
    <cellStyle name="Percent 100" xfId="43326" xr:uid="{00000000-0005-0000-0000-0000BFA90000}"/>
    <cellStyle name="Percent 100 2" xfId="43327" xr:uid="{00000000-0005-0000-0000-0000C0A90000}"/>
    <cellStyle name="Percent 100 3" xfId="43328" xr:uid="{00000000-0005-0000-0000-0000C1A90000}"/>
    <cellStyle name="Percent 100 3 2" xfId="43329" xr:uid="{00000000-0005-0000-0000-0000C2A90000}"/>
    <cellStyle name="Percent 100 3 2 2" xfId="43330" xr:uid="{00000000-0005-0000-0000-0000C3A90000}"/>
    <cellStyle name="Percent 100 3 3" xfId="43331" xr:uid="{00000000-0005-0000-0000-0000C4A90000}"/>
    <cellStyle name="Percent 100 4" xfId="43332" xr:uid="{00000000-0005-0000-0000-0000C5A90000}"/>
    <cellStyle name="Percent 100 4 2" xfId="43333" xr:uid="{00000000-0005-0000-0000-0000C6A90000}"/>
    <cellStyle name="Percent 100 4 2 2" xfId="43334" xr:uid="{00000000-0005-0000-0000-0000C7A90000}"/>
    <cellStyle name="Percent 100 4 3" xfId="43335" xr:uid="{00000000-0005-0000-0000-0000C8A90000}"/>
    <cellStyle name="Percent 101" xfId="43336" xr:uid="{00000000-0005-0000-0000-0000C9A90000}"/>
    <cellStyle name="Percent 101 2" xfId="43337" xr:uid="{00000000-0005-0000-0000-0000CAA90000}"/>
    <cellStyle name="Percent 101 3" xfId="43338" xr:uid="{00000000-0005-0000-0000-0000CBA90000}"/>
    <cellStyle name="Percent 101 3 2" xfId="43339" xr:uid="{00000000-0005-0000-0000-0000CCA90000}"/>
    <cellStyle name="Percent 101 3 2 2" xfId="43340" xr:uid="{00000000-0005-0000-0000-0000CDA90000}"/>
    <cellStyle name="Percent 101 3 3" xfId="43341" xr:uid="{00000000-0005-0000-0000-0000CEA90000}"/>
    <cellStyle name="Percent 101 4" xfId="43342" xr:uid="{00000000-0005-0000-0000-0000CFA90000}"/>
    <cellStyle name="Percent 101 4 2" xfId="43343" xr:uid="{00000000-0005-0000-0000-0000D0A90000}"/>
    <cellStyle name="Percent 101 4 2 2" xfId="43344" xr:uid="{00000000-0005-0000-0000-0000D1A90000}"/>
    <cellStyle name="Percent 101 4 3" xfId="43345" xr:uid="{00000000-0005-0000-0000-0000D2A90000}"/>
    <cellStyle name="Percent 102" xfId="43346" xr:uid="{00000000-0005-0000-0000-0000D3A90000}"/>
    <cellStyle name="Percent 102 2" xfId="43347" xr:uid="{00000000-0005-0000-0000-0000D4A90000}"/>
    <cellStyle name="Percent 102 3" xfId="43348" xr:uid="{00000000-0005-0000-0000-0000D5A90000}"/>
    <cellStyle name="Percent 102 3 2" xfId="43349" xr:uid="{00000000-0005-0000-0000-0000D6A90000}"/>
    <cellStyle name="Percent 102 3 2 2" xfId="43350" xr:uid="{00000000-0005-0000-0000-0000D7A90000}"/>
    <cellStyle name="Percent 102 3 3" xfId="43351" xr:uid="{00000000-0005-0000-0000-0000D8A90000}"/>
    <cellStyle name="Percent 102 4" xfId="43352" xr:uid="{00000000-0005-0000-0000-0000D9A90000}"/>
    <cellStyle name="Percent 102 4 2" xfId="43353" xr:uid="{00000000-0005-0000-0000-0000DAA90000}"/>
    <cellStyle name="Percent 102 4 2 2" xfId="43354" xr:uid="{00000000-0005-0000-0000-0000DBA90000}"/>
    <cellStyle name="Percent 102 4 3" xfId="43355" xr:uid="{00000000-0005-0000-0000-0000DCA90000}"/>
    <cellStyle name="Percent 103" xfId="43356" xr:uid="{00000000-0005-0000-0000-0000DDA90000}"/>
    <cellStyle name="Percent 103 2" xfId="43357" xr:uid="{00000000-0005-0000-0000-0000DEA90000}"/>
    <cellStyle name="Percent 103 3" xfId="43358" xr:uid="{00000000-0005-0000-0000-0000DFA90000}"/>
    <cellStyle name="Percent 103 3 2" xfId="43359" xr:uid="{00000000-0005-0000-0000-0000E0A90000}"/>
    <cellStyle name="Percent 103 3 2 2" xfId="43360" xr:uid="{00000000-0005-0000-0000-0000E1A90000}"/>
    <cellStyle name="Percent 103 3 3" xfId="43361" xr:uid="{00000000-0005-0000-0000-0000E2A90000}"/>
    <cellStyle name="Percent 103 4" xfId="43362" xr:uid="{00000000-0005-0000-0000-0000E3A90000}"/>
    <cellStyle name="Percent 103 4 2" xfId="43363" xr:uid="{00000000-0005-0000-0000-0000E4A90000}"/>
    <cellStyle name="Percent 103 4 2 2" xfId="43364" xr:uid="{00000000-0005-0000-0000-0000E5A90000}"/>
    <cellStyle name="Percent 103 4 3" xfId="43365" xr:uid="{00000000-0005-0000-0000-0000E6A90000}"/>
    <cellStyle name="Percent 104" xfId="43366" xr:uid="{00000000-0005-0000-0000-0000E7A90000}"/>
    <cellStyle name="Percent 104 2" xfId="43367" xr:uid="{00000000-0005-0000-0000-0000E8A90000}"/>
    <cellStyle name="Percent 104 3" xfId="43368" xr:uid="{00000000-0005-0000-0000-0000E9A90000}"/>
    <cellStyle name="Percent 104 3 2" xfId="43369" xr:uid="{00000000-0005-0000-0000-0000EAA90000}"/>
    <cellStyle name="Percent 104 3 2 2" xfId="43370" xr:uid="{00000000-0005-0000-0000-0000EBA90000}"/>
    <cellStyle name="Percent 104 3 3" xfId="43371" xr:uid="{00000000-0005-0000-0000-0000ECA90000}"/>
    <cellStyle name="Percent 104 4" xfId="43372" xr:uid="{00000000-0005-0000-0000-0000EDA90000}"/>
    <cellStyle name="Percent 104 4 2" xfId="43373" xr:uid="{00000000-0005-0000-0000-0000EEA90000}"/>
    <cellStyle name="Percent 104 4 2 2" xfId="43374" xr:uid="{00000000-0005-0000-0000-0000EFA90000}"/>
    <cellStyle name="Percent 104 4 3" xfId="43375" xr:uid="{00000000-0005-0000-0000-0000F0A90000}"/>
    <cellStyle name="Percent 105" xfId="43376" xr:uid="{00000000-0005-0000-0000-0000F1A90000}"/>
    <cellStyle name="Percent 105 2" xfId="43377" xr:uid="{00000000-0005-0000-0000-0000F2A90000}"/>
    <cellStyle name="Percent 105 3" xfId="43378" xr:uid="{00000000-0005-0000-0000-0000F3A90000}"/>
    <cellStyle name="Percent 105 3 2" xfId="43379" xr:uid="{00000000-0005-0000-0000-0000F4A90000}"/>
    <cellStyle name="Percent 105 3 2 2" xfId="43380" xr:uid="{00000000-0005-0000-0000-0000F5A90000}"/>
    <cellStyle name="Percent 105 3 3" xfId="43381" xr:uid="{00000000-0005-0000-0000-0000F6A90000}"/>
    <cellStyle name="Percent 105 4" xfId="43382" xr:uid="{00000000-0005-0000-0000-0000F7A90000}"/>
    <cellStyle name="Percent 105 4 2" xfId="43383" xr:uid="{00000000-0005-0000-0000-0000F8A90000}"/>
    <cellStyle name="Percent 105 4 2 2" xfId="43384" xr:uid="{00000000-0005-0000-0000-0000F9A90000}"/>
    <cellStyle name="Percent 105 4 3" xfId="43385" xr:uid="{00000000-0005-0000-0000-0000FAA90000}"/>
    <cellStyle name="Percent 106" xfId="43386" xr:uid="{00000000-0005-0000-0000-0000FBA90000}"/>
    <cellStyle name="Percent 106 2" xfId="43387" xr:uid="{00000000-0005-0000-0000-0000FCA90000}"/>
    <cellStyle name="Percent 106 3" xfId="43388" xr:uid="{00000000-0005-0000-0000-0000FDA90000}"/>
    <cellStyle name="Percent 106 3 2" xfId="43389" xr:uid="{00000000-0005-0000-0000-0000FEA90000}"/>
    <cellStyle name="Percent 106 3 2 2" xfId="43390" xr:uid="{00000000-0005-0000-0000-0000FFA90000}"/>
    <cellStyle name="Percent 106 3 3" xfId="43391" xr:uid="{00000000-0005-0000-0000-000000AA0000}"/>
    <cellStyle name="Percent 106 4" xfId="43392" xr:uid="{00000000-0005-0000-0000-000001AA0000}"/>
    <cellStyle name="Percent 106 4 2" xfId="43393" xr:uid="{00000000-0005-0000-0000-000002AA0000}"/>
    <cellStyle name="Percent 106 4 2 2" xfId="43394" xr:uid="{00000000-0005-0000-0000-000003AA0000}"/>
    <cellStyle name="Percent 106 4 3" xfId="43395" xr:uid="{00000000-0005-0000-0000-000004AA0000}"/>
    <cellStyle name="Percent 107" xfId="43396" xr:uid="{00000000-0005-0000-0000-000005AA0000}"/>
    <cellStyle name="Percent 107 2" xfId="43397" xr:uid="{00000000-0005-0000-0000-000006AA0000}"/>
    <cellStyle name="Percent 107 3" xfId="43398" xr:uid="{00000000-0005-0000-0000-000007AA0000}"/>
    <cellStyle name="Percent 107 3 2" xfId="43399" xr:uid="{00000000-0005-0000-0000-000008AA0000}"/>
    <cellStyle name="Percent 107 3 2 2" xfId="43400" xr:uid="{00000000-0005-0000-0000-000009AA0000}"/>
    <cellStyle name="Percent 107 3 3" xfId="43401" xr:uid="{00000000-0005-0000-0000-00000AAA0000}"/>
    <cellStyle name="Percent 108" xfId="43402" xr:uid="{00000000-0005-0000-0000-00000BAA0000}"/>
    <cellStyle name="Percent 108 2" xfId="43403" xr:uid="{00000000-0005-0000-0000-00000CAA0000}"/>
    <cellStyle name="Percent 108 3" xfId="43404" xr:uid="{00000000-0005-0000-0000-00000DAA0000}"/>
    <cellStyle name="Percent 108 3 2" xfId="43405" xr:uid="{00000000-0005-0000-0000-00000EAA0000}"/>
    <cellStyle name="Percent 108 3 2 2" xfId="43406" xr:uid="{00000000-0005-0000-0000-00000FAA0000}"/>
    <cellStyle name="Percent 108 3 3" xfId="43407" xr:uid="{00000000-0005-0000-0000-000010AA0000}"/>
    <cellStyle name="Percent 109" xfId="43408" xr:uid="{00000000-0005-0000-0000-000011AA0000}"/>
    <cellStyle name="Percent 109 2" xfId="43409" xr:uid="{00000000-0005-0000-0000-000012AA0000}"/>
    <cellStyle name="Percent 109 3" xfId="43410" xr:uid="{00000000-0005-0000-0000-000013AA0000}"/>
    <cellStyle name="Percent 109 3 2" xfId="43411" xr:uid="{00000000-0005-0000-0000-000014AA0000}"/>
    <cellStyle name="Percent 109 3 2 2" xfId="43412" xr:uid="{00000000-0005-0000-0000-000015AA0000}"/>
    <cellStyle name="Percent 109 3 3" xfId="43413" xr:uid="{00000000-0005-0000-0000-000016AA0000}"/>
    <cellStyle name="Percent 11" xfId="43414" xr:uid="{00000000-0005-0000-0000-000017AA0000}"/>
    <cellStyle name="Percent 11 2" xfId="43415" xr:uid="{00000000-0005-0000-0000-000018AA0000}"/>
    <cellStyle name="Percent 11 3" xfId="43416" xr:uid="{00000000-0005-0000-0000-000019AA0000}"/>
    <cellStyle name="Percent 11 3 2" xfId="43417" xr:uid="{00000000-0005-0000-0000-00001AAA0000}"/>
    <cellStyle name="Percent 11 3 2 2" xfId="43418" xr:uid="{00000000-0005-0000-0000-00001BAA0000}"/>
    <cellStyle name="Percent 11 3 3" xfId="43419" xr:uid="{00000000-0005-0000-0000-00001CAA0000}"/>
    <cellStyle name="Percent 11 4" xfId="43420" xr:uid="{00000000-0005-0000-0000-00001DAA0000}"/>
    <cellStyle name="Percent 11 4 2" xfId="43421" xr:uid="{00000000-0005-0000-0000-00001EAA0000}"/>
    <cellStyle name="Percent 11 4 2 2" xfId="43422" xr:uid="{00000000-0005-0000-0000-00001FAA0000}"/>
    <cellStyle name="Percent 11 4 3" xfId="43423" xr:uid="{00000000-0005-0000-0000-000020AA0000}"/>
    <cellStyle name="Percent 110" xfId="43424" xr:uid="{00000000-0005-0000-0000-000021AA0000}"/>
    <cellStyle name="Percent 111" xfId="43425" xr:uid="{00000000-0005-0000-0000-000022AA0000}"/>
    <cellStyle name="Percent 112" xfId="43426" xr:uid="{00000000-0005-0000-0000-000023AA0000}"/>
    <cellStyle name="Percent 113" xfId="43427" xr:uid="{00000000-0005-0000-0000-000024AA0000}"/>
    <cellStyle name="Percent 114" xfId="43428" xr:uid="{00000000-0005-0000-0000-000025AA0000}"/>
    <cellStyle name="Percent 115" xfId="43429" xr:uid="{00000000-0005-0000-0000-000026AA0000}"/>
    <cellStyle name="Percent 116" xfId="43430" xr:uid="{00000000-0005-0000-0000-000027AA0000}"/>
    <cellStyle name="Percent 117" xfId="43431" xr:uid="{00000000-0005-0000-0000-000028AA0000}"/>
    <cellStyle name="Percent 118" xfId="43432" xr:uid="{00000000-0005-0000-0000-000029AA0000}"/>
    <cellStyle name="Percent 119" xfId="43433" xr:uid="{00000000-0005-0000-0000-00002AAA0000}"/>
    <cellStyle name="Percent 12" xfId="43434" xr:uid="{00000000-0005-0000-0000-00002BAA0000}"/>
    <cellStyle name="Percent 12 2" xfId="43435" xr:uid="{00000000-0005-0000-0000-00002CAA0000}"/>
    <cellStyle name="Percent 12 3" xfId="43436" xr:uid="{00000000-0005-0000-0000-00002DAA0000}"/>
    <cellStyle name="Percent 12 3 2" xfId="43437" xr:uid="{00000000-0005-0000-0000-00002EAA0000}"/>
    <cellStyle name="Percent 12 3 2 2" xfId="43438" xr:uid="{00000000-0005-0000-0000-00002FAA0000}"/>
    <cellStyle name="Percent 12 3 3" xfId="43439" xr:uid="{00000000-0005-0000-0000-000030AA0000}"/>
    <cellStyle name="Percent 12 4" xfId="43440" xr:uid="{00000000-0005-0000-0000-000031AA0000}"/>
    <cellStyle name="Percent 12 4 2" xfId="43441" xr:uid="{00000000-0005-0000-0000-000032AA0000}"/>
    <cellStyle name="Percent 12 4 2 2" xfId="43442" xr:uid="{00000000-0005-0000-0000-000033AA0000}"/>
    <cellStyle name="Percent 12 4 3" xfId="43443" xr:uid="{00000000-0005-0000-0000-000034AA0000}"/>
    <cellStyle name="Percent 120" xfId="43444" xr:uid="{00000000-0005-0000-0000-000035AA0000}"/>
    <cellStyle name="Percent 121" xfId="43445" xr:uid="{00000000-0005-0000-0000-000036AA0000}"/>
    <cellStyle name="Percent 122" xfId="43446" xr:uid="{00000000-0005-0000-0000-000037AA0000}"/>
    <cellStyle name="Percent 123" xfId="43447" xr:uid="{00000000-0005-0000-0000-000038AA0000}"/>
    <cellStyle name="Percent 124" xfId="43448" xr:uid="{00000000-0005-0000-0000-000039AA0000}"/>
    <cellStyle name="Percent 125" xfId="43449" xr:uid="{00000000-0005-0000-0000-00003AAA0000}"/>
    <cellStyle name="Percent 126" xfId="43450" xr:uid="{00000000-0005-0000-0000-00003BAA0000}"/>
    <cellStyle name="Percent 127" xfId="43451" xr:uid="{00000000-0005-0000-0000-00003CAA0000}"/>
    <cellStyle name="Percent 128" xfId="43452" xr:uid="{00000000-0005-0000-0000-00003DAA0000}"/>
    <cellStyle name="Percent 129" xfId="43453" xr:uid="{00000000-0005-0000-0000-00003EAA0000}"/>
    <cellStyle name="Percent 13" xfId="43454" xr:uid="{00000000-0005-0000-0000-00003FAA0000}"/>
    <cellStyle name="Percent 13 2" xfId="43455" xr:uid="{00000000-0005-0000-0000-000040AA0000}"/>
    <cellStyle name="Percent 13 3" xfId="43456" xr:uid="{00000000-0005-0000-0000-000041AA0000}"/>
    <cellStyle name="Percent 13 3 2" xfId="43457" xr:uid="{00000000-0005-0000-0000-000042AA0000}"/>
    <cellStyle name="Percent 13 3 2 2" xfId="43458" xr:uid="{00000000-0005-0000-0000-000043AA0000}"/>
    <cellStyle name="Percent 13 3 3" xfId="43459" xr:uid="{00000000-0005-0000-0000-000044AA0000}"/>
    <cellStyle name="Percent 13 4" xfId="43460" xr:uid="{00000000-0005-0000-0000-000045AA0000}"/>
    <cellStyle name="Percent 13 4 2" xfId="43461" xr:uid="{00000000-0005-0000-0000-000046AA0000}"/>
    <cellStyle name="Percent 13 4 2 2" xfId="43462" xr:uid="{00000000-0005-0000-0000-000047AA0000}"/>
    <cellStyle name="Percent 13 4 3" xfId="43463" xr:uid="{00000000-0005-0000-0000-000048AA0000}"/>
    <cellStyle name="Percent 130" xfId="43464" xr:uid="{00000000-0005-0000-0000-000049AA0000}"/>
    <cellStyle name="Percent 131" xfId="43465" xr:uid="{00000000-0005-0000-0000-00004AAA0000}"/>
    <cellStyle name="Percent 132" xfId="43466" xr:uid="{00000000-0005-0000-0000-00004BAA0000}"/>
    <cellStyle name="Percent 133" xfId="43467" xr:uid="{00000000-0005-0000-0000-00004CAA0000}"/>
    <cellStyle name="Percent 134" xfId="43468" xr:uid="{00000000-0005-0000-0000-00004DAA0000}"/>
    <cellStyle name="Percent 135" xfId="43469" xr:uid="{00000000-0005-0000-0000-00004EAA0000}"/>
    <cellStyle name="Percent 136" xfId="43470" xr:uid="{00000000-0005-0000-0000-00004FAA0000}"/>
    <cellStyle name="Percent 137" xfId="43471" xr:uid="{00000000-0005-0000-0000-000050AA0000}"/>
    <cellStyle name="Percent 138" xfId="43472" xr:uid="{00000000-0005-0000-0000-000051AA0000}"/>
    <cellStyle name="Percent 139" xfId="43473" xr:uid="{00000000-0005-0000-0000-000052AA0000}"/>
    <cellStyle name="Percent 14" xfId="43474" xr:uid="{00000000-0005-0000-0000-000053AA0000}"/>
    <cellStyle name="Percent 14 2" xfId="43475" xr:uid="{00000000-0005-0000-0000-000054AA0000}"/>
    <cellStyle name="Percent 14 3" xfId="43476" xr:uid="{00000000-0005-0000-0000-000055AA0000}"/>
    <cellStyle name="Percent 14 3 2" xfId="43477" xr:uid="{00000000-0005-0000-0000-000056AA0000}"/>
    <cellStyle name="Percent 14 3 2 2" xfId="43478" xr:uid="{00000000-0005-0000-0000-000057AA0000}"/>
    <cellStyle name="Percent 14 3 3" xfId="43479" xr:uid="{00000000-0005-0000-0000-000058AA0000}"/>
    <cellStyle name="Percent 14 4" xfId="43480" xr:uid="{00000000-0005-0000-0000-000059AA0000}"/>
    <cellStyle name="Percent 14 4 2" xfId="43481" xr:uid="{00000000-0005-0000-0000-00005AAA0000}"/>
    <cellStyle name="Percent 14 4 2 2" xfId="43482" xr:uid="{00000000-0005-0000-0000-00005BAA0000}"/>
    <cellStyle name="Percent 14 4 3" xfId="43483" xr:uid="{00000000-0005-0000-0000-00005CAA0000}"/>
    <cellStyle name="Percent 140" xfId="43484" xr:uid="{00000000-0005-0000-0000-00005DAA0000}"/>
    <cellStyle name="Percent 141" xfId="43485" xr:uid="{00000000-0005-0000-0000-00005EAA0000}"/>
    <cellStyle name="Percent 142" xfId="43486" xr:uid="{00000000-0005-0000-0000-00005FAA0000}"/>
    <cellStyle name="Percent 143" xfId="43487" xr:uid="{00000000-0005-0000-0000-000060AA0000}"/>
    <cellStyle name="Percent 144" xfId="43488" xr:uid="{00000000-0005-0000-0000-000061AA0000}"/>
    <cellStyle name="Percent 145" xfId="43489" xr:uid="{00000000-0005-0000-0000-000062AA0000}"/>
    <cellStyle name="Percent 146" xfId="43490" xr:uid="{00000000-0005-0000-0000-000063AA0000}"/>
    <cellStyle name="Percent 147" xfId="43491" xr:uid="{00000000-0005-0000-0000-000064AA0000}"/>
    <cellStyle name="Percent 148" xfId="43492" xr:uid="{00000000-0005-0000-0000-000065AA0000}"/>
    <cellStyle name="Percent 149" xfId="43493" xr:uid="{00000000-0005-0000-0000-000066AA0000}"/>
    <cellStyle name="Percent 15" xfId="43494" xr:uid="{00000000-0005-0000-0000-000067AA0000}"/>
    <cellStyle name="Percent 15 2" xfId="43495" xr:uid="{00000000-0005-0000-0000-000068AA0000}"/>
    <cellStyle name="Percent 15 3" xfId="43496" xr:uid="{00000000-0005-0000-0000-000069AA0000}"/>
    <cellStyle name="Percent 15 3 2" xfId="43497" xr:uid="{00000000-0005-0000-0000-00006AAA0000}"/>
    <cellStyle name="Percent 15 3 2 2" xfId="43498" xr:uid="{00000000-0005-0000-0000-00006BAA0000}"/>
    <cellStyle name="Percent 15 3 3" xfId="43499" xr:uid="{00000000-0005-0000-0000-00006CAA0000}"/>
    <cellStyle name="Percent 15 4" xfId="43500" xr:uid="{00000000-0005-0000-0000-00006DAA0000}"/>
    <cellStyle name="Percent 15 4 2" xfId="43501" xr:uid="{00000000-0005-0000-0000-00006EAA0000}"/>
    <cellStyle name="Percent 15 4 2 2" xfId="43502" xr:uid="{00000000-0005-0000-0000-00006FAA0000}"/>
    <cellStyle name="Percent 15 4 3" xfId="43503" xr:uid="{00000000-0005-0000-0000-000070AA0000}"/>
    <cellStyle name="Percent 150" xfId="669" xr:uid="{00000000-0005-0000-0000-000071AA0000}"/>
    <cellStyle name="Percent 151" xfId="53872" xr:uid="{00000000-0005-0000-0000-000072AA0000}"/>
    <cellStyle name="Percent 152" xfId="53876" xr:uid="{00000000-0005-0000-0000-000073AA0000}"/>
    <cellStyle name="Percent 153" xfId="53879" xr:uid="{00000000-0005-0000-0000-000074AA0000}"/>
    <cellStyle name="Percent 154" xfId="53882" xr:uid="{00000000-0005-0000-0000-000075AA0000}"/>
    <cellStyle name="Percent 155" xfId="53885" xr:uid="{00000000-0005-0000-0000-000076AA0000}"/>
    <cellStyle name="Percent 156" xfId="53893" xr:uid="{3EBEE981-010A-42D3-8F58-7F4CBCBCA2D8}"/>
    <cellStyle name="Percent 16" xfId="43504" xr:uid="{00000000-0005-0000-0000-000077AA0000}"/>
    <cellStyle name="Percent 16 2" xfId="43505" xr:uid="{00000000-0005-0000-0000-000078AA0000}"/>
    <cellStyle name="Percent 16 3" xfId="43506" xr:uid="{00000000-0005-0000-0000-000079AA0000}"/>
    <cellStyle name="Percent 16 3 2" xfId="43507" xr:uid="{00000000-0005-0000-0000-00007AAA0000}"/>
    <cellStyle name="Percent 16 3 2 2" xfId="43508" xr:uid="{00000000-0005-0000-0000-00007BAA0000}"/>
    <cellStyle name="Percent 16 3 3" xfId="43509" xr:uid="{00000000-0005-0000-0000-00007CAA0000}"/>
    <cellStyle name="Percent 16 4" xfId="43510" xr:uid="{00000000-0005-0000-0000-00007DAA0000}"/>
    <cellStyle name="Percent 16 4 2" xfId="43511" xr:uid="{00000000-0005-0000-0000-00007EAA0000}"/>
    <cellStyle name="Percent 16 4 2 2" xfId="43512" xr:uid="{00000000-0005-0000-0000-00007FAA0000}"/>
    <cellStyle name="Percent 16 4 3" xfId="43513" xr:uid="{00000000-0005-0000-0000-000080AA0000}"/>
    <cellStyle name="Percent 17" xfId="43514" xr:uid="{00000000-0005-0000-0000-000081AA0000}"/>
    <cellStyle name="Percent 17 2" xfId="43515" xr:uid="{00000000-0005-0000-0000-000082AA0000}"/>
    <cellStyle name="Percent 17 3" xfId="43516" xr:uid="{00000000-0005-0000-0000-000083AA0000}"/>
    <cellStyle name="Percent 17 3 2" xfId="43517" xr:uid="{00000000-0005-0000-0000-000084AA0000}"/>
    <cellStyle name="Percent 17 3 2 2" xfId="43518" xr:uid="{00000000-0005-0000-0000-000085AA0000}"/>
    <cellStyle name="Percent 17 3 3" xfId="43519" xr:uid="{00000000-0005-0000-0000-000086AA0000}"/>
    <cellStyle name="Percent 17 4" xfId="43520" xr:uid="{00000000-0005-0000-0000-000087AA0000}"/>
    <cellStyle name="Percent 17 4 2" xfId="43521" xr:uid="{00000000-0005-0000-0000-000088AA0000}"/>
    <cellStyle name="Percent 17 4 2 2" xfId="43522" xr:uid="{00000000-0005-0000-0000-000089AA0000}"/>
    <cellStyle name="Percent 17 4 3" xfId="43523" xr:uid="{00000000-0005-0000-0000-00008AAA0000}"/>
    <cellStyle name="Percent 18" xfId="43524" xr:uid="{00000000-0005-0000-0000-00008BAA0000}"/>
    <cellStyle name="Percent 18 2" xfId="43525" xr:uid="{00000000-0005-0000-0000-00008CAA0000}"/>
    <cellStyle name="Percent 18 3" xfId="43526" xr:uid="{00000000-0005-0000-0000-00008DAA0000}"/>
    <cellStyle name="Percent 18 3 2" xfId="43527" xr:uid="{00000000-0005-0000-0000-00008EAA0000}"/>
    <cellStyle name="Percent 18 3 2 2" xfId="43528" xr:uid="{00000000-0005-0000-0000-00008FAA0000}"/>
    <cellStyle name="Percent 18 3 3" xfId="43529" xr:uid="{00000000-0005-0000-0000-000090AA0000}"/>
    <cellStyle name="Percent 18 4" xfId="43530" xr:uid="{00000000-0005-0000-0000-000091AA0000}"/>
    <cellStyle name="Percent 18 4 2" xfId="43531" xr:uid="{00000000-0005-0000-0000-000092AA0000}"/>
    <cellStyle name="Percent 18 4 2 2" xfId="43532" xr:uid="{00000000-0005-0000-0000-000093AA0000}"/>
    <cellStyle name="Percent 18 4 3" xfId="43533" xr:uid="{00000000-0005-0000-0000-000094AA0000}"/>
    <cellStyle name="Percent 19" xfId="43534" xr:uid="{00000000-0005-0000-0000-000095AA0000}"/>
    <cellStyle name="Percent 19 2" xfId="43535" xr:uid="{00000000-0005-0000-0000-000096AA0000}"/>
    <cellStyle name="Percent 19 3" xfId="43536" xr:uid="{00000000-0005-0000-0000-000097AA0000}"/>
    <cellStyle name="Percent 19 3 2" xfId="43537" xr:uid="{00000000-0005-0000-0000-000098AA0000}"/>
    <cellStyle name="Percent 19 3 2 2" xfId="43538" xr:uid="{00000000-0005-0000-0000-000099AA0000}"/>
    <cellStyle name="Percent 19 3 3" xfId="43539" xr:uid="{00000000-0005-0000-0000-00009AAA0000}"/>
    <cellStyle name="Percent 19 4" xfId="43540" xr:uid="{00000000-0005-0000-0000-00009BAA0000}"/>
    <cellStyle name="Percent 19 4 2" xfId="43541" xr:uid="{00000000-0005-0000-0000-00009CAA0000}"/>
    <cellStyle name="Percent 19 4 2 2" xfId="43542" xr:uid="{00000000-0005-0000-0000-00009DAA0000}"/>
    <cellStyle name="Percent 19 4 3" xfId="43543" xr:uid="{00000000-0005-0000-0000-00009EAA0000}"/>
    <cellStyle name="Percent 2" xfId="38" xr:uid="{00000000-0005-0000-0000-00009FAA0000}"/>
    <cellStyle name="Percent 2 2" xfId="43545" xr:uid="{00000000-0005-0000-0000-0000A0AA0000}"/>
    <cellStyle name="Percent 2 2 2" xfId="43546" xr:uid="{00000000-0005-0000-0000-0000A1AA0000}"/>
    <cellStyle name="Percent 2 2 3" xfId="43547" xr:uid="{00000000-0005-0000-0000-0000A2AA0000}"/>
    <cellStyle name="Percent 2 2 3 2" xfId="43548" xr:uid="{00000000-0005-0000-0000-0000A3AA0000}"/>
    <cellStyle name="Percent 2 2 3 2 2" xfId="43549" xr:uid="{00000000-0005-0000-0000-0000A4AA0000}"/>
    <cellStyle name="Percent 2 2 3 3" xfId="43550" xr:uid="{00000000-0005-0000-0000-0000A5AA0000}"/>
    <cellStyle name="Percent 2 2 4" xfId="43551" xr:uid="{00000000-0005-0000-0000-0000A6AA0000}"/>
    <cellStyle name="Percent 2 2 4 2" xfId="43552" xr:uid="{00000000-0005-0000-0000-0000A7AA0000}"/>
    <cellStyle name="Percent 2 2 4 2 2" xfId="43553" xr:uid="{00000000-0005-0000-0000-0000A8AA0000}"/>
    <cellStyle name="Percent 2 2 4 3" xfId="43554" xr:uid="{00000000-0005-0000-0000-0000A9AA0000}"/>
    <cellStyle name="Percent 2 3" xfId="43555" xr:uid="{00000000-0005-0000-0000-0000AAAA0000}"/>
    <cellStyle name="Percent 2 4" xfId="43556" xr:uid="{00000000-0005-0000-0000-0000ABAA0000}"/>
    <cellStyle name="Percent 2 4 2" xfId="43557" xr:uid="{00000000-0005-0000-0000-0000ACAA0000}"/>
    <cellStyle name="Percent 2 4 2 2" xfId="43558" xr:uid="{00000000-0005-0000-0000-0000ADAA0000}"/>
    <cellStyle name="Percent 2 4 3" xfId="43559" xr:uid="{00000000-0005-0000-0000-0000AEAA0000}"/>
    <cellStyle name="Percent 2 5" xfId="43560" xr:uid="{00000000-0005-0000-0000-0000AFAA0000}"/>
    <cellStyle name="Percent 2 5 2" xfId="43561" xr:uid="{00000000-0005-0000-0000-0000B0AA0000}"/>
    <cellStyle name="Percent 2 5 2 2" xfId="43562" xr:uid="{00000000-0005-0000-0000-0000B1AA0000}"/>
    <cellStyle name="Percent 2 5 3" xfId="43563" xr:uid="{00000000-0005-0000-0000-0000B2AA0000}"/>
    <cellStyle name="Percent 2 6" xfId="43544" xr:uid="{00000000-0005-0000-0000-0000B3AA0000}"/>
    <cellStyle name="Percent 20" xfId="43564" xr:uid="{00000000-0005-0000-0000-0000B4AA0000}"/>
    <cellStyle name="Percent 20 2" xfId="43565" xr:uid="{00000000-0005-0000-0000-0000B5AA0000}"/>
    <cellStyle name="Percent 20 3" xfId="43566" xr:uid="{00000000-0005-0000-0000-0000B6AA0000}"/>
    <cellStyle name="Percent 20 3 2" xfId="43567" xr:uid="{00000000-0005-0000-0000-0000B7AA0000}"/>
    <cellStyle name="Percent 20 3 2 2" xfId="43568" xr:uid="{00000000-0005-0000-0000-0000B8AA0000}"/>
    <cellStyle name="Percent 20 3 3" xfId="43569" xr:uid="{00000000-0005-0000-0000-0000B9AA0000}"/>
    <cellStyle name="Percent 20 4" xfId="43570" xr:uid="{00000000-0005-0000-0000-0000BAAA0000}"/>
    <cellStyle name="Percent 20 4 2" xfId="43571" xr:uid="{00000000-0005-0000-0000-0000BBAA0000}"/>
    <cellStyle name="Percent 20 4 2 2" xfId="43572" xr:uid="{00000000-0005-0000-0000-0000BCAA0000}"/>
    <cellStyle name="Percent 20 4 3" xfId="43573" xr:uid="{00000000-0005-0000-0000-0000BDAA0000}"/>
    <cellStyle name="Percent 21" xfId="43574" xr:uid="{00000000-0005-0000-0000-0000BEAA0000}"/>
    <cellStyle name="Percent 21 2" xfId="43575" xr:uid="{00000000-0005-0000-0000-0000BFAA0000}"/>
    <cellStyle name="Percent 21 3" xfId="43576" xr:uid="{00000000-0005-0000-0000-0000C0AA0000}"/>
    <cellStyle name="Percent 21 3 2" xfId="43577" xr:uid="{00000000-0005-0000-0000-0000C1AA0000}"/>
    <cellStyle name="Percent 21 3 2 2" xfId="43578" xr:uid="{00000000-0005-0000-0000-0000C2AA0000}"/>
    <cellStyle name="Percent 21 3 3" xfId="43579" xr:uid="{00000000-0005-0000-0000-0000C3AA0000}"/>
    <cellStyle name="Percent 21 4" xfId="43580" xr:uid="{00000000-0005-0000-0000-0000C4AA0000}"/>
    <cellStyle name="Percent 21 4 2" xfId="43581" xr:uid="{00000000-0005-0000-0000-0000C5AA0000}"/>
    <cellStyle name="Percent 21 4 2 2" xfId="43582" xr:uid="{00000000-0005-0000-0000-0000C6AA0000}"/>
    <cellStyle name="Percent 21 4 3" xfId="43583" xr:uid="{00000000-0005-0000-0000-0000C7AA0000}"/>
    <cellStyle name="Percent 22" xfId="43584" xr:uid="{00000000-0005-0000-0000-0000C8AA0000}"/>
    <cellStyle name="Percent 22 2" xfId="43585" xr:uid="{00000000-0005-0000-0000-0000C9AA0000}"/>
    <cellStyle name="Percent 22 3" xfId="43586" xr:uid="{00000000-0005-0000-0000-0000CAAA0000}"/>
    <cellStyle name="Percent 22 3 2" xfId="43587" xr:uid="{00000000-0005-0000-0000-0000CBAA0000}"/>
    <cellStyle name="Percent 22 3 2 2" xfId="43588" xr:uid="{00000000-0005-0000-0000-0000CCAA0000}"/>
    <cellStyle name="Percent 22 3 3" xfId="43589" xr:uid="{00000000-0005-0000-0000-0000CDAA0000}"/>
    <cellStyle name="Percent 22 4" xfId="43590" xr:uid="{00000000-0005-0000-0000-0000CEAA0000}"/>
    <cellStyle name="Percent 22 4 2" xfId="43591" xr:uid="{00000000-0005-0000-0000-0000CFAA0000}"/>
    <cellStyle name="Percent 22 4 2 2" xfId="43592" xr:uid="{00000000-0005-0000-0000-0000D0AA0000}"/>
    <cellStyle name="Percent 22 4 3" xfId="43593" xr:uid="{00000000-0005-0000-0000-0000D1AA0000}"/>
    <cellStyle name="Percent 23" xfId="43594" xr:uid="{00000000-0005-0000-0000-0000D2AA0000}"/>
    <cellStyle name="Percent 23 2" xfId="43595" xr:uid="{00000000-0005-0000-0000-0000D3AA0000}"/>
    <cellStyle name="Percent 23 3" xfId="43596" xr:uid="{00000000-0005-0000-0000-0000D4AA0000}"/>
    <cellStyle name="Percent 23 3 2" xfId="43597" xr:uid="{00000000-0005-0000-0000-0000D5AA0000}"/>
    <cellStyle name="Percent 23 3 2 2" xfId="43598" xr:uid="{00000000-0005-0000-0000-0000D6AA0000}"/>
    <cellStyle name="Percent 23 3 3" xfId="43599" xr:uid="{00000000-0005-0000-0000-0000D7AA0000}"/>
    <cellStyle name="Percent 23 4" xfId="43600" xr:uid="{00000000-0005-0000-0000-0000D8AA0000}"/>
    <cellStyle name="Percent 23 4 2" xfId="43601" xr:uid="{00000000-0005-0000-0000-0000D9AA0000}"/>
    <cellStyle name="Percent 23 4 2 2" xfId="43602" xr:uid="{00000000-0005-0000-0000-0000DAAA0000}"/>
    <cellStyle name="Percent 23 4 3" xfId="43603" xr:uid="{00000000-0005-0000-0000-0000DBAA0000}"/>
    <cellStyle name="Percent 24" xfId="43604" xr:uid="{00000000-0005-0000-0000-0000DCAA0000}"/>
    <cellStyle name="Percent 24 2" xfId="43605" xr:uid="{00000000-0005-0000-0000-0000DDAA0000}"/>
    <cellStyle name="Percent 24 3" xfId="43606" xr:uid="{00000000-0005-0000-0000-0000DEAA0000}"/>
    <cellStyle name="Percent 24 3 2" xfId="43607" xr:uid="{00000000-0005-0000-0000-0000DFAA0000}"/>
    <cellStyle name="Percent 24 3 2 2" xfId="43608" xr:uid="{00000000-0005-0000-0000-0000E0AA0000}"/>
    <cellStyle name="Percent 24 3 3" xfId="43609" xr:uid="{00000000-0005-0000-0000-0000E1AA0000}"/>
    <cellStyle name="Percent 24 4" xfId="43610" xr:uid="{00000000-0005-0000-0000-0000E2AA0000}"/>
    <cellStyle name="Percent 24 4 2" xfId="43611" xr:uid="{00000000-0005-0000-0000-0000E3AA0000}"/>
    <cellStyle name="Percent 24 4 2 2" xfId="43612" xr:uid="{00000000-0005-0000-0000-0000E4AA0000}"/>
    <cellStyle name="Percent 24 4 3" xfId="43613" xr:uid="{00000000-0005-0000-0000-0000E5AA0000}"/>
    <cellStyle name="Percent 25" xfId="43614" xr:uid="{00000000-0005-0000-0000-0000E6AA0000}"/>
    <cellStyle name="Percent 25 2" xfId="43615" xr:uid="{00000000-0005-0000-0000-0000E7AA0000}"/>
    <cellStyle name="Percent 25 3" xfId="43616" xr:uid="{00000000-0005-0000-0000-0000E8AA0000}"/>
    <cellStyle name="Percent 25 3 2" xfId="43617" xr:uid="{00000000-0005-0000-0000-0000E9AA0000}"/>
    <cellStyle name="Percent 25 3 2 2" xfId="43618" xr:uid="{00000000-0005-0000-0000-0000EAAA0000}"/>
    <cellStyle name="Percent 25 3 3" xfId="43619" xr:uid="{00000000-0005-0000-0000-0000EBAA0000}"/>
    <cellStyle name="Percent 25 4" xfId="43620" xr:uid="{00000000-0005-0000-0000-0000ECAA0000}"/>
    <cellStyle name="Percent 25 4 2" xfId="43621" xr:uid="{00000000-0005-0000-0000-0000EDAA0000}"/>
    <cellStyle name="Percent 25 4 2 2" xfId="43622" xr:uid="{00000000-0005-0000-0000-0000EEAA0000}"/>
    <cellStyle name="Percent 25 4 3" xfId="43623" xr:uid="{00000000-0005-0000-0000-0000EFAA0000}"/>
    <cellStyle name="Percent 26" xfId="43624" xr:uid="{00000000-0005-0000-0000-0000F0AA0000}"/>
    <cellStyle name="Percent 26 2" xfId="43625" xr:uid="{00000000-0005-0000-0000-0000F1AA0000}"/>
    <cellStyle name="Percent 26 3" xfId="43626" xr:uid="{00000000-0005-0000-0000-0000F2AA0000}"/>
    <cellStyle name="Percent 26 3 2" xfId="43627" xr:uid="{00000000-0005-0000-0000-0000F3AA0000}"/>
    <cellStyle name="Percent 26 3 2 2" xfId="43628" xr:uid="{00000000-0005-0000-0000-0000F4AA0000}"/>
    <cellStyle name="Percent 26 3 3" xfId="43629" xr:uid="{00000000-0005-0000-0000-0000F5AA0000}"/>
    <cellStyle name="Percent 26 4" xfId="43630" xr:uid="{00000000-0005-0000-0000-0000F6AA0000}"/>
    <cellStyle name="Percent 26 4 2" xfId="43631" xr:uid="{00000000-0005-0000-0000-0000F7AA0000}"/>
    <cellStyle name="Percent 26 4 2 2" xfId="43632" xr:uid="{00000000-0005-0000-0000-0000F8AA0000}"/>
    <cellStyle name="Percent 26 4 3" xfId="43633" xr:uid="{00000000-0005-0000-0000-0000F9AA0000}"/>
    <cellStyle name="Percent 27" xfId="43634" xr:uid="{00000000-0005-0000-0000-0000FAAA0000}"/>
    <cellStyle name="Percent 27 2" xfId="43635" xr:uid="{00000000-0005-0000-0000-0000FBAA0000}"/>
    <cellStyle name="Percent 27 3" xfId="43636" xr:uid="{00000000-0005-0000-0000-0000FCAA0000}"/>
    <cellStyle name="Percent 27 3 2" xfId="43637" xr:uid="{00000000-0005-0000-0000-0000FDAA0000}"/>
    <cellStyle name="Percent 27 3 2 2" xfId="43638" xr:uid="{00000000-0005-0000-0000-0000FEAA0000}"/>
    <cellStyle name="Percent 27 3 3" xfId="43639" xr:uid="{00000000-0005-0000-0000-0000FFAA0000}"/>
    <cellStyle name="Percent 27 4" xfId="43640" xr:uid="{00000000-0005-0000-0000-000000AB0000}"/>
    <cellStyle name="Percent 27 4 2" xfId="43641" xr:uid="{00000000-0005-0000-0000-000001AB0000}"/>
    <cellStyle name="Percent 27 4 2 2" xfId="43642" xr:uid="{00000000-0005-0000-0000-000002AB0000}"/>
    <cellStyle name="Percent 27 4 3" xfId="43643" xr:uid="{00000000-0005-0000-0000-000003AB0000}"/>
    <cellStyle name="Percent 28" xfId="43644" xr:uid="{00000000-0005-0000-0000-000004AB0000}"/>
    <cellStyle name="Percent 28 2" xfId="43645" xr:uid="{00000000-0005-0000-0000-000005AB0000}"/>
    <cellStyle name="Percent 28 3" xfId="43646" xr:uid="{00000000-0005-0000-0000-000006AB0000}"/>
    <cellStyle name="Percent 28 3 2" xfId="43647" xr:uid="{00000000-0005-0000-0000-000007AB0000}"/>
    <cellStyle name="Percent 28 3 2 2" xfId="43648" xr:uid="{00000000-0005-0000-0000-000008AB0000}"/>
    <cellStyle name="Percent 28 3 3" xfId="43649" xr:uid="{00000000-0005-0000-0000-000009AB0000}"/>
    <cellStyle name="Percent 28 4" xfId="43650" xr:uid="{00000000-0005-0000-0000-00000AAB0000}"/>
    <cellStyle name="Percent 28 4 2" xfId="43651" xr:uid="{00000000-0005-0000-0000-00000BAB0000}"/>
    <cellStyle name="Percent 28 4 2 2" xfId="43652" xr:uid="{00000000-0005-0000-0000-00000CAB0000}"/>
    <cellStyle name="Percent 28 4 3" xfId="43653" xr:uid="{00000000-0005-0000-0000-00000DAB0000}"/>
    <cellStyle name="Percent 29" xfId="43654" xr:uid="{00000000-0005-0000-0000-00000EAB0000}"/>
    <cellStyle name="Percent 29 2" xfId="43655" xr:uid="{00000000-0005-0000-0000-00000FAB0000}"/>
    <cellStyle name="Percent 29 3" xfId="43656" xr:uid="{00000000-0005-0000-0000-000010AB0000}"/>
    <cellStyle name="Percent 29 3 2" xfId="43657" xr:uid="{00000000-0005-0000-0000-000011AB0000}"/>
    <cellStyle name="Percent 29 3 2 2" xfId="43658" xr:uid="{00000000-0005-0000-0000-000012AB0000}"/>
    <cellStyle name="Percent 29 3 3" xfId="43659" xr:uid="{00000000-0005-0000-0000-000013AB0000}"/>
    <cellStyle name="Percent 29 4" xfId="43660" xr:uid="{00000000-0005-0000-0000-000014AB0000}"/>
    <cellStyle name="Percent 29 4 2" xfId="43661" xr:uid="{00000000-0005-0000-0000-000015AB0000}"/>
    <cellStyle name="Percent 29 4 2 2" xfId="43662" xr:uid="{00000000-0005-0000-0000-000016AB0000}"/>
    <cellStyle name="Percent 29 4 3" xfId="43663" xr:uid="{00000000-0005-0000-0000-000017AB0000}"/>
    <cellStyle name="Percent 3" xfId="39" xr:uid="{00000000-0005-0000-0000-000018AB0000}"/>
    <cellStyle name="Percent 3 2" xfId="106" xr:uid="{00000000-0005-0000-0000-000019AB0000}"/>
    <cellStyle name="Percent 3 2 2" xfId="43665" xr:uid="{00000000-0005-0000-0000-00001AAB0000}"/>
    <cellStyle name="Percent 3 2 3" xfId="43666" xr:uid="{00000000-0005-0000-0000-00001BAB0000}"/>
    <cellStyle name="Percent 3 2 3 2" xfId="43667" xr:uid="{00000000-0005-0000-0000-00001CAB0000}"/>
    <cellStyle name="Percent 3 2 3 2 2" xfId="43668" xr:uid="{00000000-0005-0000-0000-00001DAB0000}"/>
    <cellStyle name="Percent 3 2 3 3" xfId="43669" xr:uid="{00000000-0005-0000-0000-00001EAB0000}"/>
    <cellStyle name="Percent 3 2 4" xfId="43670" xr:uid="{00000000-0005-0000-0000-00001FAB0000}"/>
    <cellStyle name="Percent 3 2 4 2" xfId="43671" xr:uid="{00000000-0005-0000-0000-000020AB0000}"/>
    <cellStyle name="Percent 3 2 4 2 2" xfId="43672" xr:uid="{00000000-0005-0000-0000-000021AB0000}"/>
    <cellStyle name="Percent 3 2 4 3" xfId="43673" xr:uid="{00000000-0005-0000-0000-000022AB0000}"/>
    <cellStyle name="Percent 3 3" xfId="134" xr:uid="{00000000-0005-0000-0000-000023AB0000}"/>
    <cellStyle name="Percent 3 3 2" xfId="43675" xr:uid="{00000000-0005-0000-0000-000024AB0000}"/>
    <cellStyle name="Percent 3 3 2 2" xfId="43676" xr:uid="{00000000-0005-0000-0000-000025AB0000}"/>
    <cellStyle name="Percent 3 3 3" xfId="43677" xr:uid="{00000000-0005-0000-0000-000026AB0000}"/>
    <cellStyle name="Percent 3 3 3 2" xfId="43678" xr:uid="{00000000-0005-0000-0000-000027AB0000}"/>
    <cellStyle name="Percent 3 3 3 2 2" xfId="43679" xr:uid="{00000000-0005-0000-0000-000028AB0000}"/>
    <cellStyle name="Percent 3 3 3 3" xfId="43680" xr:uid="{00000000-0005-0000-0000-000029AB0000}"/>
    <cellStyle name="Percent 3 3 4" xfId="43681" xr:uid="{00000000-0005-0000-0000-00002AAB0000}"/>
    <cellStyle name="Percent 3 3 4 2" xfId="43682" xr:uid="{00000000-0005-0000-0000-00002BAB0000}"/>
    <cellStyle name="Percent 3 3 4 2 2" xfId="43683" xr:uid="{00000000-0005-0000-0000-00002CAB0000}"/>
    <cellStyle name="Percent 3 3 4 3" xfId="43684" xr:uid="{00000000-0005-0000-0000-00002DAB0000}"/>
    <cellStyle name="Percent 3 3 5" xfId="43685" xr:uid="{00000000-0005-0000-0000-00002EAB0000}"/>
    <cellStyle name="Percent 3 3 6" xfId="43674" xr:uid="{00000000-0005-0000-0000-00002FAB0000}"/>
    <cellStyle name="Percent 3 4" xfId="43686" xr:uid="{00000000-0005-0000-0000-000030AB0000}"/>
    <cellStyle name="Percent 3 5" xfId="43687" xr:uid="{00000000-0005-0000-0000-000031AB0000}"/>
    <cellStyle name="Percent 3 5 2" xfId="43688" xr:uid="{00000000-0005-0000-0000-000032AB0000}"/>
    <cellStyle name="Percent 3 5 2 2" xfId="43689" xr:uid="{00000000-0005-0000-0000-000033AB0000}"/>
    <cellStyle name="Percent 3 5 3" xfId="43690" xr:uid="{00000000-0005-0000-0000-000034AB0000}"/>
    <cellStyle name="Percent 3 6" xfId="43691" xr:uid="{00000000-0005-0000-0000-000035AB0000}"/>
    <cellStyle name="Percent 3 6 2" xfId="43692" xr:uid="{00000000-0005-0000-0000-000036AB0000}"/>
    <cellStyle name="Percent 3 6 2 2" xfId="43693" xr:uid="{00000000-0005-0000-0000-000037AB0000}"/>
    <cellStyle name="Percent 3 6 3" xfId="43694" xr:uid="{00000000-0005-0000-0000-000038AB0000}"/>
    <cellStyle name="Percent 3 7" xfId="43664" xr:uid="{00000000-0005-0000-0000-000039AB0000}"/>
    <cellStyle name="Percent 30" xfId="43695" xr:uid="{00000000-0005-0000-0000-00003AAB0000}"/>
    <cellStyle name="Percent 30 2" xfId="43696" xr:uid="{00000000-0005-0000-0000-00003BAB0000}"/>
    <cellStyle name="Percent 30 3" xfId="43697" xr:uid="{00000000-0005-0000-0000-00003CAB0000}"/>
    <cellStyle name="Percent 30 3 2" xfId="43698" xr:uid="{00000000-0005-0000-0000-00003DAB0000}"/>
    <cellStyle name="Percent 30 3 2 2" xfId="43699" xr:uid="{00000000-0005-0000-0000-00003EAB0000}"/>
    <cellStyle name="Percent 30 3 3" xfId="43700" xr:uid="{00000000-0005-0000-0000-00003FAB0000}"/>
    <cellStyle name="Percent 30 4" xfId="43701" xr:uid="{00000000-0005-0000-0000-000040AB0000}"/>
    <cellStyle name="Percent 30 4 2" xfId="43702" xr:uid="{00000000-0005-0000-0000-000041AB0000}"/>
    <cellStyle name="Percent 30 4 2 2" xfId="43703" xr:uid="{00000000-0005-0000-0000-000042AB0000}"/>
    <cellStyle name="Percent 30 4 3" xfId="43704" xr:uid="{00000000-0005-0000-0000-000043AB0000}"/>
    <cellStyle name="Percent 31" xfId="43705" xr:uid="{00000000-0005-0000-0000-000044AB0000}"/>
    <cellStyle name="Percent 31 2" xfId="43706" xr:uid="{00000000-0005-0000-0000-000045AB0000}"/>
    <cellStyle name="Percent 31 3" xfId="43707" xr:uid="{00000000-0005-0000-0000-000046AB0000}"/>
    <cellStyle name="Percent 31 3 2" xfId="43708" xr:uid="{00000000-0005-0000-0000-000047AB0000}"/>
    <cellStyle name="Percent 31 3 2 2" xfId="43709" xr:uid="{00000000-0005-0000-0000-000048AB0000}"/>
    <cellStyle name="Percent 31 3 3" xfId="43710" xr:uid="{00000000-0005-0000-0000-000049AB0000}"/>
    <cellStyle name="Percent 31 4" xfId="43711" xr:uid="{00000000-0005-0000-0000-00004AAB0000}"/>
    <cellStyle name="Percent 31 4 2" xfId="43712" xr:uid="{00000000-0005-0000-0000-00004BAB0000}"/>
    <cellStyle name="Percent 31 4 2 2" xfId="43713" xr:uid="{00000000-0005-0000-0000-00004CAB0000}"/>
    <cellStyle name="Percent 31 4 3" xfId="43714" xr:uid="{00000000-0005-0000-0000-00004DAB0000}"/>
    <cellStyle name="Percent 32" xfId="43715" xr:uid="{00000000-0005-0000-0000-00004EAB0000}"/>
    <cellStyle name="Percent 32 2" xfId="43716" xr:uid="{00000000-0005-0000-0000-00004FAB0000}"/>
    <cellStyle name="Percent 32 3" xfId="43717" xr:uid="{00000000-0005-0000-0000-000050AB0000}"/>
    <cellStyle name="Percent 32 3 2" xfId="43718" xr:uid="{00000000-0005-0000-0000-000051AB0000}"/>
    <cellStyle name="Percent 32 3 2 2" xfId="43719" xr:uid="{00000000-0005-0000-0000-000052AB0000}"/>
    <cellStyle name="Percent 32 3 3" xfId="43720" xr:uid="{00000000-0005-0000-0000-000053AB0000}"/>
    <cellStyle name="Percent 32 4" xfId="43721" xr:uid="{00000000-0005-0000-0000-000054AB0000}"/>
    <cellStyle name="Percent 32 4 2" xfId="43722" xr:uid="{00000000-0005-0000-0000-000055AB0000}"/>
    <cellStyle name="Percent 32 4 2 2" xfId="43723" xr:uid="{00000000-0005-0000-0000-000056AB0000}"/>
    <cellStyle name="Percent 32 4 3" xfId="43724" xr:uid="{00000000-0005-0000-0000-000057AB0000}"/>
    <cellStyle name="Percent 33" xfId="43725" xr:uid="{00000000-0005-0000-0000-000058AB0000}"/>
    <cellStyle name="Percent 33 2" xfId="43726" xr:uid="{00000000-0005-0000-0000-000059AB0000}"/>
    <cellStyle name="Percent 33 3" xfId="43727" xr:uid="{00000000-0005-0000-0000-00005AAB0000}"/>
    <cellStyle name="Percent 33 3 2" xfId="43728" xr:uid="{00000000-0005-0000-0000-00005BAB0000}"/>
    <cellStyle name="Percent 33 3 2 2" xfId="43729" xr:uid="{00000000-0005-0000-0000-00005CAB0000}"/>
    <cellStyle name="Percent 33 3 3" xfId="43730" xr:uid="{00000000-0005-0000-0000-00005DAB0000}"/>
    <cellStyle name="Percent 33 4" xfId="43731" xr:uid="{00000000-0005-0000-0000-00005EAB0000}"/>
    <cellStyle name="Percent 33 4 2" xfId="43732" xr:uid="{00000000-0005-0000-0000-00005FAB0000}"/>
    <cellStyle name="Percent 33 4 2 2" xfId="43733" xr:uid="{00000000-0005-0000-0000-000060AB0000}"/>
    <cellStyle name="Percent 33 4 3" xfId="43734" xr:uid="{00000000-0005-0000-0000-000061AB0000}"/>
    <cellStyle name="Percent 34" xfId="43735" xr:uid="{00000000-0005-0000-0000-000062AB0000}"/>
    <cellStyle name="Percent 34 2" xfId="43736" xr:uid="{00000000-0005-0000-0000-000063AB0000}"/>
    <cellStyle name="Percent 34 3" xfId="43737" xr:uid="{00000000-0005-0000-0000-000064AB0000}"/>
    <cellStyle name="Percent 34 3 2" xfId="43738" xr:uid="{00000000-0005-0000-0000-000065AB0000}"/>
    <cellStyle name="Percent 34 3 2 2" xfId="43739" xr:uid="{00000000-0005-0000-0000-000066AB0000}"/>
    <cellStyle name="Percent 34 3 3" xfId="43740" xr:uid="{00000000-0005-0000-0000-000067AB0000}"/>
    <cellStyle name="Percent 34 4" xfId="43741" xr:uid="{00000000-0005-0000-0000-000068AB0000}"/>
    <cellStyle name="Percent 34 4 2" xfId="43742" xr:uid="{00000000-0005-0000-0000-000069AB0000}"/>
    <cellStyle name="Percent 34 4 2 2" xfId="43743" xr:uid="{00000000-0005-0000-0000-00006AAB0000}"/>
    <cellStyle name="Percent 34 4 3" xfId="43744" xr:uid="{00000000-0005-0000-0000-00006BAB0000}"/>
    <cellStyle name="Percent 35" xfId="43745" xr:uid="{00000000-0005-0000-0000-00006CAB0000}"/>
    <cellStyle name="Percent 35 2" xfId="43746" xr:uid="{00000000-0005-0000-0000-00006DAB0000}"/>
    <cellStyle name="Percent 35 3" xfId="43747" xr:uid="{00000000-0005-0000-0000-00006EAB0000}"/>
    <cellStyle name="Percent 35 3 2" xfId="43748" xr:uid="{00000000-0005-0000-0000-00006FAB0000}"/>
    <cellStyle name="Percent 35 3 2 2" xfId="43749" xr:uid="{00000000-0005-0000-0000-000070AB0000}"/>
    <cellStyle name="Percent 35 3 3" xfId="43750" xr:uid="{00000000-0005-0000-0000-000071AB0000}"/>
    <cellStyle name="Percent 35 4" xfId="43751" xr:uid="{00000000-0005-0000-0000-000072AB0000}"/>
    <cellStyle name="Percent 35 4 2" xfId="43752" xr:uid="{00000000-0005-0000-0000-000073AB0000}"/>
    <cellStyle name="Percent 35 4 2 2" xfId="43753" xr:uid="{00000000-0005-0000-0000-000074AB0000}"/>
    <cellStyle name="Percent 35 4 3" xfId="43754" xr:uid="{00000000-0005-0000-0000-000075AB0000}"/>
    <cellStyle name="Percent 36" xfId="43755" xr:uid="{00000000-0005-0000-0000-000076AB0000}"/>
    <cellStyle name="Percent 36 2" xfId="43756" xr:uid="{00000000-0005-0000-0000-000077AB0000}"/>
    <cellStyle name="Percent 36 3" xfId="43757" xr:uid="{00000000-0005-0000-0000-000078AB0000}"/>
    <cellStyle name="Percent 36 3 2" xfId="43758" xr:uid="{00000000-0005-0000-0000-000079AB0000}"/>
    <cellStyle name="Percent 36 3 2 2" xfId="43759" xr:uid="{00000000-0005-0000-0000-00007AAB0000}"/>
    <cellStyle name="Percent 36 3 3" xfId="43760" xr:uid="{00000000-0005-0000-0000-00007BAB0000}"/>
    <cellStyle name="Percent 36 4" xfId="43761" xr:uid="{00000000-0005-0000-0000-00007CAB0000}"/>
    <cellStyle name="Percent 36 4 2" xfId="43762" xr:uid="{00000000-0005-0000-0000-00007DAB0000}"/>
    <cellStyle name="Percent 36 4 2 2" xfId="43763" xr:uid="{00000000-0005-0000-0000-00007EAB0000}"/>
    <cellStyle name="Percent 36 4 3" xfId="43764" xr:uid="{00000000-0005-0000-0000-00007FAB0000}"/>
    <cellStyle name="Percent 37" xfId="43765" xr:uid="{00000000-0005-0000-0000-000080AB0000}"/>
    <cellStyle name="Percent 37 2" xfId="43766" xr:uid="{00000000-0005-0000-0000-000081AB0000}"/>
    <cellStyle name="Percent 37 3" xfId="43767" xr:uid="{00000000-0005-0000-0000-000082AB0000}"/>
    <cellStyle name="Percent 37 3 2" xfId="43768" xr:uid="{00000000-0005-0000-0000-000083AB0000}"/>
    <cellStyle name="Percent 37 3 2 2" xfId="43769" xr:uid="{00000000-0005-0000-0000-000084AB0000}"/>
    <cellStyle name="Percent 37 3 3" xfId="43770" xr:uid="{00000000-0005-0000-0000-000085AB0000}"/>
    <cellStyle name="Percent 37 4" xfId="43771" xr:uid="{00000000-0005-0000-0000-000086AB0000}"/>
    <cellStyle name="Percent 37 4 2" xfId="43772" xr:uid="{00000000-0005-0000-0000-000087AB0000}"/>
    <cellStyle name="Percent 37 4 2 2" xfId="43773" xr:uid="{00000000-0005-0000-0000-000088AB0000}"/>
    <cellStyle name="Percent 37 4 3" xfId="43774" xr:uid="{00000000-0005-0000-0000-000089AB0000}"/>
    <cellStyle name="Percent 38" xfId="43775" xr:uid="{00000000-0005-0000-0000-00008AAB0000}"/>
    <cellStyle name="Percent 38 2" xfId="43776" xr:uid="{00000000-0005-0000-0000-00008BAB0000}"/>
    <cellStyle name="Percent 38 3" xfId="43777" xr:uid="{00000000-0005-0000-0000-00008CAB0000}"/>
    <cellStyle name="Percent 38 3 2" xfId="43778" xr:uid="{00000000-0005-0000-0000-00008DAB0000}"/>
    <cellStyle name="Percent 38 3 2 2" xfId="43779" xr:uid="{00000000-0005-0000-0000-00008EAB0000}"/>
    <cellStyle name="Percent 38 3 3" xfId="43780" xr:uid="{00000000-0005-0000-0000-00008FAB0000}"/>
    <cellStyle name="Percent 38 4" xfId="43781" xr:uid="{00000000-0005-0000-0000-000090AB0000}"/>
    <cellStyle name="Percent 38 4 2" xfId="43782" xr:uid="{00000000-0005-0000-0000-000091AB0000}"/>
    <cellStyle name="Percent 38 4 2 2" xfId="43783" xr:uid="{00000000-0005-0000-0000-000092AB0000}"/>
    <cellStyle name="Percent 38 4 3" xfId="43784" xr:uid="{00000000-0005-0000-0000-000093AB0000}"/>
    <cellStyle name="Percent 39" xfId="43785" xr:uid="{00000000-0005-0000-0000-000094AB0000}"/>
    <cellStyle name="Percent 39 2" xfId="43786" xr:uid="{00000000-0005-0000-0000-000095AB0000}"/>
    <cellStyle name="Percent 39 3" xfId="43787" xr:uid="{00000000-0005-0000-0000-000096AB0000}"/>
    <cellStyle name="Percent 39 3 2" xfId="43788" xr:uid="{00000000-0005-0000-0000-000097AB0000}"/>
    <cellStyle name="Percent 39 3 2 2" xfId="43789" xr:uid="{00000000-0005-0000-0000-000098AB0000}"/>
    <cellStyle name="Percent 39 3 3" xfId="43790" xr:uid="{00000000-0005-0000-0000-000099AB0000}"/>
    <cellStyle name="Percent 39 4" xfId="43791" xr:uid="{00000000-0005-0000-0000-00009AAB0000}"/>
    <cellStyle name="Percent 39 4 2" xfId="43792" xr:uid="{00000000-0005-0000-0000-00009BAB0000}"/>
    <cellStyle name="Percent 39 4 2 2" xfId="43793" xr:uid="{00000000-0005-0000-0000-00009CAB0000}"/>
    <cellStyle name="Percent 39 4 3" xfId="43794" xr:uid="{00000000-0005-0000-0000-00009DAB0000}"/>
    <cellStyle name="Percent 4" xfId="105" xr:uid="{00000000-0005-0000-0000-00009EAB0000}"/>
    <cellStyle name="Percent 4 2" xfId="43796" xr:uid="{00000000-0005-0000-0000-00009FAB0000}"/>
    <cellStyle name="Percent 4 2 2" xfId="43797" xr:uid="{00000000-0005-0000-0000-0000A0AB0000}"/>
    <cellStyle name="Percent 4 2 3" xfId="43798" xr:uid="{00000000-0005-0000-0000-0000A1AB0000}"/>
    <cellStyle name="Percent 4 2 3 2" xfId="43799" xr:uid="{00000000-0005-0000-0000-0000A2AB0000}"/>
    <cellStyle name="Percent 4 2 3 2 2" xfId="43800" xr:uid="{00000000-0005-0000-0000-0000A3AB0000}"/>
    <cellStyle name="Percent 4 2 3 3" xfId="43801" xr:uid="{00000000-0005-0000-0000-0000A4AB0000}"/>
    <cellStyle name="Percent 4 2 4" xfId="43802" xr:uid="{00000000-0005-0000-0000-0000A5AB0000}"/>
    <cellStyle name="Percent 4 2 4 2" xfId="43803" xr:uid="{00000000-0005-0000-0000-0000A6AB0000}"/>
    <cellStyle name="Percent 4 2 4 2 2" xfId="43804" xr:uid="{00000000-0005-0000-0000-0000A7AB0000}"/>
    <cellStyle name="Percent 4 2 4 3" xfId="43805" xr:uid="{00000000-0005-0000-0000-0000A8AB0000}"/>
    <cellStyle name="Percent 4 3" xfId="43806" xr:uid="{00000000-0005-0000-0000-0000A9AB0000}"/>
    <cellStyle name="Percent 4 3 2" xfId="43807" xr:uid="{00000000-0005-0000-0000-0000AAAB0000}"/>
    <cellStyle name="Percent 4 3 3" xfId="43808" xr:uid="{00000000-0005-0000-0000-0000ABAB0000}"/>
    <cellStyle name="Percent 4 3 3 2" xfId="43809" xr:uid="{00000000-0005-0000-0000-0000ACAB0000}"/>
    <cellStyle name="Percent 4 3 3 2 2" xfId="43810" xr:uid="{00000000-0005-0000-0000-0000ADAB0000}"/>
    <cellStyle name="Percent 4 3 3 3" xfId="43811" xr:uid="{00000000-0005-0000-0000-0000AEAB0000}"/>
    <cellStyle name="Percent 4 3 4" xfId="43812" xr:uid="{00000000-0005-0000-0000-0000AFAB0000}"/>
    <cellStyle name="Percent 4 3 4 2" xfId="43813" xr:uid="{00000000-0005-0000-0000-0000B0AB0000}"/>
    <cellStyle name="Percent 4 3 4 2 2" xfId="43814" xr:uid="{00000000-0005-0000-0000-0000B1AB0000}"/>
    <cellStyle name="Percent 4 3 4 3" xfId="43815" xr:uid="{00000000-0005-0000-0000-0000B2AB0000}"/>
    <cellStyle name="Percent 4 4" xfId="43816" xr:uid="{00000000-0005-0000-0000-0000B3AB0000}"/>
    <cellStyle name="Percent 4 5" xfId="43817" xr:uid="{00000000-0005-0000-0000-0000B4AB0000}"/>
    <cellStyle name="Percent 4 5 2" xfId="43818" xr:uid="{00000000-0005-0000-0000-0000B5AB0000}"/>
    <cellStyle name="Percent 4 5 2 2" xfId="43819" xr:uid="{00000000-0005-0000-0000-0000B6AB0000}"/>
    <cellStyle name="Percent 4 5 3" xfId="43820" xr:uid="{00000000-0005-0000-0000-0000B7AB0000}"/>
    <cellStyle name="Percent 4 6" xfId="43821" xr:uid="{00000000-0005-0000-0000-0000B8AB0000}"/>
    <cellStyle name="Percent 4 6 2" xfId="43822" xr:uid="{00000000-0005-0000-0000-0000B9AB0000}"/>
    <cellStyle name="Percent 4 6 2 2" xfId="43823" xr:uid="{00000000-0005-0000-0000-0000BAAB0000}"/>
    <cellStyle name="Percent 4 6 3" xfId="43824" xr:uid="{00000000-0005-0000-0000-0000BBAB0000}"/>
    <cellStyle name="Percent 4 7" xfId="43795" xr:uid="{00000000-0005-0000-0000-0000BCAB0000}"/>
    <cellStyle name="Percent 40" xfId="43825" xr:uid="{00000000-0005-0000-0000-0000BDAB0000}"/>
    <cellStyle name="Percent 40 2" xfId="43826" xr:uid="{00000000-0005-0000-0000-0000BEAB0000}"/>
    <cellStyle name="Percent 40 3" xfId="43827" xr:uid="{00000000-0005-0000-0000-0000BFAB0000}"/>
    <cellStyle name="Percent 40 3 2" xfId="43828" xr:uid="{00000000-0005-0000-0000-0000C0AB0000}"/>
    <cellStyle name="Percent 40 3 2 2" xfId="43829" xr:uid="{00000000-0005-0000-0000-0000C1AB0000}"/>
    <cellStyle name="Percent 40 3 3" xfId="43830" xr:uid="{00000000-0005-0000-0000-0000C2AB0000}"/>
    <cellStyle name="Percent 40 4" xfId="43831" xr:uid="{00000000-0005-0000-0000-0000C3AB0000}"/>
    <cellStyle name="Percent 40 4 2" xfId="43832" xr:uid="{00000000-0005-0000-0000-0000C4AB0000}"/>
    <cellStyle name="Percent 40 4 2 2" xfId="43833" xr:uid="{00000000-0005-0000-0000-0000C5AB0000}"/>
    <cellStyle name="Percent 40 4 3" xfId="43834" xr:uid="{00000000-0005-0000-0000-0000C6AB0000}"/>
    <cellStyle name="Percent 41" xfId="43835" xr:uid="{00000000-0005-0000-0000-0000C7AB0000}"/>
    <cellStyle name="Percent 41 2" xfId="43836" xr:uid="{00000000-0005-0000-0000-0000C8AB0000}"/>
    <cellStyle name="Percent 41 3" xfId="43837" xr:uid="{00000000-0005-0000-0000-0000C9AB0000}"/>
    <cellStyle name="Percent 41 3 2" xfId="43838" xr:uid="{00000000-0005-0000-0000-0000CAAB0000}"/>
    <cellStyle name="Percent 41 3 2 2" xfId="43839" xr:uid="{00000000-0005-0000-0000-0000CBAB0000}"/>
    <cellStyle name="Percent 41 3 3" xfId="43840" xr:uid="{00000000-0005-0000-0000-0000CCAB0000}"/>
    <cellStyle name="Percent 41 4" xfId="43841" xr:uid="{00000000-0005-0000-0000-0000CDAB0000}"/>
    <cellStyle name="Percent 41 4 2" xfId="43842" xr:uid="{00000000-0005-0000-0000-0000CEAB0000}"/>
    <cellStyle name="Percent 41 4 2 2" xfId="43843" xr:uid="{00000000-0005-0000-0000-0000CFAB0000}"/>
    <cellStyle name="Percent 41 4 3" xfId="43844" xr:uid="{00000000-0005-0000-0000-0000D0AB0000}"/>
    <cellStyle name="Percent 42" xfId="43845" xr:uid="{00000000-0005-0000-0000-0000D1AB0000}"/>
    <cellStyle name="Percent 42 2" xfId="43846" xr:uid="{00000000-0005-0000-0000-0000D2AB0000}"/>
    <cellStyle name="Percent 42 3" xfId="43847" xr:uid="{00000000-0005-0000-0000-0000D3AB0000}"/>
    <cellStyle name="Percent 42 3 2" xfId="43848" xr:uid="{00000000-0005-0000-0000-0000D4AB0000}"/>
    <cellStyle name="Percent 42 3 2 2" xfId="43849" xr:uid="{00000000-0005-0000-0000-0000D5AB0000}"/>
    <cellStyle name="Percent 42 3 3" xfId="43850" xr:uid="{00000000-0005-0000-0000-0000D6AB0000}"/>
    <cellStyle name="Percent 42 4" xfId="43851" xr:uid="{00000000-0005-0000-0000-0000D7AB0000}"/>
    <cellStyle name="Percent 42 4 2" xfId="43852" xr:uid="{00000000-0005-0000-0000-0000D8AB0000}"/>
    <cellStyle name="Percent 42 4 2 2" xfId="43853" xr:uid="{00000000-0005-0000-0000-0000D9AB0000}"/>
    <cellStyle name="Percent 42 4 3" xfId="43854" xr:uid="{00000000-0005-0000-0000-0000DAAB0000}"/>
    <cellStyle name="Percent 43" xfId="43855" xr:uid="{00000000-0005-0000-0000-0000DBAB0000}"/>
    <cellStyle name="Percent 43 2" xfId="43856" xr:uid="{00000000-0005-0000-0000-0000DCAB0000}"/>
    <cellStyle name="Percent 43 3" xfId="43857" xr:uid="{00000000-0005-0000-0000-0000DDAB0000}"/>
    <cellStyle name="Percent 43 3 2" xfId="43858" xr:uid="{00000000-0005-0000-0000-0000DEAB0000}"/>
    <cellStyle name="Percent 43 3 2 2" xfId="43859" xr:uid="{00000000-0005-0000-0000-0000DFAB0000}"/>
    <cellStyle name="Percent 43 3 3" xfId="43860" xr:uid="{00000000-0005-0000-0000-0000E0AB0000}"/>
    <cellStyle name="Percent 43 4" xfId="43861" xr:uid="{00000000-0005-0000-0000-0000E1AB0000}"/>
    <cellStyle name="Percent 43 4 2" xfId="43862" xr:uid="{00000000-0005-0000-0000-0000E2AB0000}"/>
    <cellStyle name="Percent 43 4 2 2" xfId="43863" xr:uid="{00000000-0005-0000-0000-0000E3AB0000}"/>
    <cellStyle name="Percent 43 4 3" xfId="43864" xr:uid="{00000000-0005-0000-0000-0000E4AB0000}"/>
    <cellStyle name="Percent 44" xfId="43865" xr:uid="{00000000-0005-0000-0000-0000E5AB0000}"/>
    <cellStyle name="Percent 44 2" xfId="43866" xr:uid="{00000000-0005-0000-0000-0000E6AB0000}"/>
    <cellStyle name="Percent 44 3" xfId="43867" xr:uid="{00000000-0005-0000-0000-0000E7AB0000}"/>
    <cellStyle name="Percent 44 3 2" xfId="43868" xr:uid="{00000000-0005-0000-0000-0000E8AB0000}"/>
    <cellStyle name="Percent 44 3 2 2" xfId="43869" xr:uid="{00000000-0005-0000-0000-0000E9AB0000}"/>
    <cellStyle name="Percent 44 3 3" xfId="43870" xr:uid="{00000000-0005-0000-0000-0000EAAB0000}"/>
    <cellStyle name="Percent 44 4" xfId="43871" xr:uid="{00000000-0005-0000-0000-0000EBAB0000}"/>
    <cellStyle name="Percent 44 4 2" xfId="43872" xr:uid="{00000000-0005-0000-0000-0000ECAB0000}"/>
    <cellStyle name="Percent 44 4 2 2" xfId="43873" xr:uid="{00000000-0005-0000-0000-0000EDAB0000}"/>
    <cellStyle name="Percent 44 4 3" xfId="43874" xr:uid="{00000000-0005-0000-0000-0000EEAB0000}"/>
    <cellStyle name="Percent 45" xfId="43875" xr:uid="{00000000-0005-0000-0000-0000EFAB0000}"/>
    <cellStyle name="Percent 45 2" xfId="43876" xr:uid="{00000000-0005-0000-0000-0000F0AB0000}"/>
    <cellStyle name="Percent 45 3" xfId="43877" xr:uid="{00000000-0005-0000-0000-0000F1AB0000}"/>
    <cellStyle name="Percent 45 3 2" xfId="43878" xr:uid="{00000000-0005-0000-0000-0000F2AB0000}"/>
    <cellStyle name="Percent 45 3 2 2" xfId="43879" xr:uid="{00000000-0005-0000-0000-0000F3AB0000}"/>
    <cellStyle name="Percent 45 3 3" xfId="43880" xr:uid="{00000000-0005-0000-0000-0000F4AB0000}"/>
    <cellStyle name="Percent 45 4" xfId="43881" xr:uid="{00000000-0005-0000-0000-0000F5AB0000}"/>
    <cellStyle name="Percent 45 4 2" xfId="43882" xr:uid="{00000000-0005-0000-0000-0000F6AB0000}"/>
    <cellStyle name="Percent 45 4 2 2" xfId="43883" xr:uid="{00000000-0005-0000-0000-0000F7AB0000}"/>
    <cellStyle name="Percent 45 4 3" xfId="43884" xr:uid="{00000000-0005-0000-0000-0000F8AB0000}"/>
    <cellStyle name="Percent 46" xfId="43885" xr:uid="{00000000-0005-0000-0000-0000F9AB0000}"/>
    <cellStyle name="Percent 46 2" xfId="43886" xr:uid="{00000000-0005-0000-0000-0000FAAB0000}"/>
    <cellStyle name="Percent 46 3" xfId="43887" xr:uid="{00000000-0005-0000-0000-0000FBAB0000}"/>
    <cellStyle name="Percent 46 3 2" xfId="43888" xr:uid="{00000000-0005-0000-0000-0000FCAB0000}"/>
    <cellStyle name="Percent 46 3 2 2" xfId="43889" xr:uid="{00000000-0005-0000-0000-0000FDAB0000}"/>
    <cellStyle name="Percent 46 3 3" xfId="43890" xr:uid="{00000000-0005-0000-0000-0000FEAB0000}"/>
    <cellStyle name="Percent 46 4" xfId="43891" xr:uid="{00000000-0005-0000-0000-0000FFAB0000}"/>
    <cellStyle name="Percent 46 4 2" xfId="43892" xr:uid="{00000000-0005-0000-0000-000000AC0000}"/>
    <cellStyle name="Percent 46 4 2 2" xfId="43893" xr:uid="{00000000-0005-0000-0000-000001AC0000}"/>
    <cellStyle name="Percent 46 4 3" xfId="43894" xr:uid="{00000000-0005-0000-0000-000002AC0000}"/>
    <cellStyle name="Percent 47" xfId="43895" xr:uid="{00000000-0005-0000-0000-000003AC0000}"/>
    <cellStyle name="Percent 47 2" xfId="43896" xr:uid="{00000000-0005-0000-0000-000004AC0000}"/>
    <cellStyle name="Percent 47 3" xfId="43897" xr:uid="{00000000-0005-0000-0000-000005AC0000}"/>
    <cellStyle name="Percent 47 3 2" xfId="43898" xr:uid="{00000000-0005-0000-0000-000006AC0000}"/>
    <cellStyle name="Percent 47 3 2 2" xfId="43899" xr:uid="{00000000-0005-0000-0000-000007AC0000}"/>
    <cellStyle name="Percent 47 3 3" xfId="43900" xr:uid="{00000000-0005-0000-0000-000008AC0000}"/>
    <cellStyle name="Percent 47 4" xfId="43901" xr:uid="{00000000-0005-0000-0000-000009AC0000}"/>
    <cellStyle name="Percent 47 4 2" xfId="43902" xr:uid="{00000000-0005-0000-0000-00000AAC0000}"/>
    <cellStyle name="Percent 47 4 2 2" xfId="43903" xr:uid="{00000000-0005-0000-0000-00000BAC0000}"/>
    <cellStyle name="Percent 47 4 3" xfId="43904" xr:uid="{00000000-0005-0000-0000-00000CAC0000}"/>
    <cellStyle name="Percent 48" xfId="43905" xr:uid="{00000000-0005-0000-0000-00000DAC0000}"/>
    <cellStyle name="Percent 48 2" xfId="43906" xr:uid="{00000000-0005-0000-0000-00000EAC0000}"/>
    <cellStyle name="Percent 48 3" xfId="43907" xr:uid="{00000000-0005-0000-0000-00000FAC0000}"/>
    <cellStyle name="Percent 48 3 2" xfId="43908" xr:uid="{00000000-0005-0000-0000-000010AC0000}"/>
    <cellStyle name="Percent 48 3 2 2" xfId="43909" xr:uid="{00000000-0005-0000-0000-000011AC0000}"/>
    <cellStyle name="Percent 48 3 3" xfId="43910" xr:uid="{00000000-0005-0000-0000-000012AC0000}"/>
    <cellStyle name="Percent 48 4" xfId="43911" xr:uid="{00000000-0005-0000-0000-000013AC0000}"/>
    <cellStyle name="Percent 48 4 2" xfId="43912" xr:uid="{00000000-0005-0000-0000-000014AC0000}"/>
    <cellStyle name="Percent 48 4 2 2" xfId="43913" xr:uid="{00000000-0005-0000-0000-000015AC0000}"/>
    <cellStyle name="Percent 48 4 3" xfId="43914" xr:uid="{00000000-0005-0000-0000-000016AC0000}"/>
    <cellStyle name="Percent 49" xfId="43915" xr:uid="{00000000-0005-0000-0000-000017AC0000}"/>
    <cellStyle name="Percent 49 2" xfId="43916" xr:uid="{00000000-0005-0000-0000-000018AC0000}"/>
    <cellStyle name="Percent 49 3" xfId="43917" xr:uid="{00000000-0005-0000-0000-000019AC0000}"/>
    <cellStyle name="Percent 49 3 2" xfId="43918" xr:uid="{00000000-0005-0000-0000-00001AAC0000}"/>
    <cellStyle name="Percent 49 3 2 2" xfId="43919" xr:uid="{00000000-0005-0000-0000-00001BAC0000}"/>
    <cellStyle name="Percent 49 3 3" xfId="43920" xr:uid="{00000000-0005-0000-0000-00001CAC0000}"/>
    <cellStyle name="Percent 49 4" xfId="43921" xr:uid="{00000000-0005-0000-0000-00001DAC0000}"/>
    <cellStyle name="Percent 49 4 2" xfId="43922" xr:uid="{00000000-0005-0000-0000-00001EAC0000}"/>
    <cellStyle name="Percent 49 4 2 2" xfId="43923" xr:uid="{00000000-0005-0000-0000-00001FAC0000}"/>
    <cellStyle name="Percent 49 4 3" xfId="43924" xr:uid="{00000000-0005-0000-0000-000020AC0000}"/>
    <cellStyle name="Percent 5" xfId="141" xr:uid="{00000000-0005-0000-0000-000021AC0000}"/>
    <cellStyle name="Percent 5 2" xfId="43926" xr:uid="{00000000-0005-0000-0000-000022AC0000}"/>
    <cellStyle name="Percent 5 3" xfId="43927" xr:uid="{00000000-0005-0000-0000-000023AC0000}"/>
    <cellStyle name="Percent 5 3 2" xfId="43928" xr:uid="{00000000-0005-0000-0000-000024AC0000}"/>
    <cellStyle name="Percent 5 3 2 2" xfId="43929" xr:uid="{00000000-0005-0000-0000-000025AC0000}"/>
    <cellStyle name="Percent 5 3 3" xfId="43930" xr:uid="{00000000-0005-0000-0000-000026AC0000}"/>
    <cellStyle name="Percent 5 4" xfId="43931" xr:uid="{00000000-0005-0000-0000-000027AC0000}"/>
    <cellStyle name="Percent 5 4 2" xfId="43932" xr:uid="{00000000-0005-0000-0000-000028AC0000}"/>
    <cellStyle name="Percent 5 4 2 2" xfId="43933" xr:uid="{00000000-0005-0000-0000-000029AC0000}"/>
    <cellStyle name="Percent 5 4 3" xfId="43934" xr:uid="{00000000-0005-0000-0000-00002AAC0000}"/>
    <cellStyle name="Percent 5 5" xfId="43925" xr:uid="{00000000-0005-0000-0000-00002BAC0000}"/>
    <cellStyle name="Percent 50" xfId="43935" xr:uid="{00000000-0005-0000-0000-00002CAC0000}"/>
    <cellStyle name="Percent 50 2" xfId="43936" xr:uid="{00000000-0005-0000-0000-00002DAC0000}"/>
    <cellStyle name="Percent 50 3" xfId="43937" xr:uid="{00000000-0005-0000-0000-00002EAC0000}"/>
    <cellStyle name="Percent 50 3 2" xfId="43938" xr:uid="{00000000-0005-0000-0000-00002FAC0000}"/>
    <cellStyle name="Percent 50 3 2 2" xfId="43939" xr:uid="{00000000-0005-0000-0000-000030AC0000}"/>
    <cellStyle name="Percent 50 3 3" xfId="43940" xr:uid="{00000000-0005-0000-0000-000031AC0000}"/>
    <cellStyle name="Percent 50 4" xfId="43941" xr:uid="{00000000-0005-0000-0000-000032AC0000}"/>
    <cellStyle name="Percent 50 4 2" xfId="43942" xr:uid="{00000000-0005-0000-0000-000033AC0000}"/>
    <cellStyle name="Percent 50 4 2 2" xfId="43943" xr:uid="{00000000-0005-0000-0000-000034AC0000}"/>
    <cellStyle name="Percent 50 4 3" xfId="43944" xr:uid="{00000000-0005-0000-0000-000035AC0000}"/>
    <cellStyle name="Percent 51" xfId="43945" xr:uid="{00000000-0005-0000-0000-000036AC0000}"/>
    <cellStyle name="Percent 51 2" xfId="43946" xr:uid="{00000000-0005-0000-0000-000037AC0000}"/>
    <cellStyle name="Percent 51 3" xfId="43947" xr:uid="{00000000-0005-0000-0000-000038AC0000}"/>
    <cellStyle name="Percent 51 3 2" xfId="43948" xr:uid="{00000000-0005-0000-0000-000039AC0000}"/>
    <cellStyle name="Percent 51 3 2 2" xfId="43949" xr:uid="{00000000-0005-0000-0000-00003AAC0000}"/>
    <cellStyle name="Percent 51 3 3" xfId="43950" xr:uid="{00000000-0005-0000-0000-00003BAC0000}"/>
    <cellStyle name="Percent 51 4" xfId="43951" xr:uid="{00000000-0005-0000-0000-00003CAC0000}"/>
    <cellStyle name="Percent 51 4 2" xfId="43952" xr:uid="{00000000-0005-0000-0000-00003DAC0000}"/>
    <cellStyle name="Percent 51 4 2 2" xfId="43953" xr:uid="{00000000-0005-0000-0000-00003EAC0000}"/>
    <cellStyle name="Percent 51 4 3" xfId="43954" xr:uid="{00000000-0005-0000-0000-00003FAC0000}"/>
    <cellStyle name="Percent 52" xfId="43955" xr:uid="{00000000-0005-0000-0000-000040AC0000}"/>
    <cellStyle name="Percent 52 2" xfId="43956" xr:uid="{00000000-0005-0000-0000-000041AC0000}"/>
    <cellStyle name="Percent 52 3" xfId="43957" xr:uid="{00000000-0005-0000-0000-000042AC0000}"/>
    <cellStyle name="Percent 52 3 2" xfId="43958" xr:uid="{00000000-0005-0000-0000-000043AC0000}"/>
    <cellStyle name="Percent 52 3 2 2" xfId="43959" xr:uid="{00000000-0005-0000-0000-000044AC0000}"/>
    <cellStyle name="Percent 52 3 3" xfId="43960" xr:uid="{00000000-0005-0000-0000-000045AC0000}"/>
    <cellStyle name="Percent 52 4" xfId="43961" xr:uid="{00000000-0005-0000-0000-000046AC0000}"/>
    <cellStyle name="Percent 52 4 2" xfId="43962" xr:uid="{00000000-0005-0000-0000-000047AC0000}"/>
    <cellStyle name="Percent 52 4 2 2" xfId="43963" xr:uid="{00000000-0005-0000-0000-000048AC0000}"/>
    <cellStyle name="Percent 52 4 3" xfId="43964" xr:uid="{00000000-0005-0000-0000-000049AC0000}"/>
    <cellStyle name="Percent 53" xfId="43965" xr:uid="{00000000-0005-0000-0000-00004AAC0000}"/>
    <cellStyle name="Percent 53 2" xfId="43966" xr:uid="{00000000-0005-0000-0000-00004BAC0000}"/>
    <cellStyle name="Percent 53 3" xfId="43967" xr:uid="{00000000-0005-0000-0000-00004CAC0000}"/>
    <cellStyle name="Percent 53 3 2" xfId="43968" xr:uid="{00000000-0005-0000-0000-00004DAC0000}"/>
    <cellStyle name="Percent 53 3 2 2" xfId="43969" xr:uid="{00000000-0005-0000-0000-00004EAC0000}"/>
    <cellStyle name="Percent 53 3 3" xfId="43970" xr:uid="{00000000-0005-0000-0000-00004FAC0000}"/>
    <cellStyle name="Percent 53 4" xfId="43971" xr:uid="{00000000-0005-0000-0000-000050AC0000}"/>
    <cellStyle name="Percent 53 4 2" xfId="43972" xr:uid="{00000000-0005-0000-0000-000051AC0000}"/>
    <cellStyle name="Percent 53 4 2 2" xfId="43973" xr:uid="{00000000-0005-0000-0000-000052AC0000}"/>
    <cellStyle name="Percent 53 4 3" xfId="43974" xr:uid="{00000000-0005-0000-0000-000053AC0000}"/>
    <cellStyle name="Percent 54" xfId="43975" xr:uid="{00000000-0005-0000-0000-000054AC0000}"/>
    <cellStyle name="Percent 54 2" xfId="43976" xr:uid="{00000000-0005-0000-0000-000055AC0000}"/>
    <cellStyle name="Percent 54 3" xfId="43977" xr:uid="{00000000-0005-0000-0000-000056AC0000}"/>
    <cellStyle name="Percent 54 3 2" xfId="43978" xr:uid="{00000000-0005-0000-0000-000057AC0000}"/>
    <cellStyle name="Percent 54 3 2 2" xfId="43979" xr:uid="{00000000-0005-0000-0000-000058AC0000}"/>
    <cellStyle name="Percent 54 3 3" xfId="43980" xr:uid="{00000000-0005-0000-0000-000059AC0000}"/>
    <cellStyle name="Percent 54 4" xfId="43981" xr:uid="{00000000-0005-0000-0000-00005AAC0000}"/>
    <cellStyle name="Percent 54 4 2" xfId="43982" xr:uid="{00000000-0005-0000-0000-00005BAC0000}"/>
    <cellStyle name="Percent 54 4 2 2" xfId="43983" xr:uid="{00000000-0005-0000-0000-00005CAC0000}"/>
    <cellStyle name="Percent 54 4 3" xfId="43984" xr:uid="{00000000-0005-0000-0000-00005DAC0000}"/>
    <cellStyle name="Percent 55" xfId="43985" xr:uid="{00000000-0005-0000-0000-00005EAC0000}"/>
    <cellStyle name="Percent 55 2" xfId="43986" xr:uid="{00000000-0005-0000-0000-00005FAC0000}"/>
    <cellStyle name="Percent 55 3" xfId="43987" xr:uid="{00000000-0005-0000-0000-000060AC0000}"/>
    <cellStyle name="Percent 55 3 2" xfId="43988" xr:uid="{00000000-0005-0000-0000-000061AC0000}"/>
    <cellStyle name="Percent 55 3 2 2" xfId="43989" xr:uid="{00000000-0005-0000-0000-000062AC0000}"/>
    <cellStyle name="Percent 55 3 3" xfId="43990" xr:uid="{00000000-0005-0000-0000-000063AC0000}"/>
    <cellStyle name="Percent 55 4" xfId="43991" xr:uid="{00000000-0005-0000-0000-000064AC0000}"/>
    <cellStyle name="Percent 55 4 2" xfId="43992" xr:uid="{00000000-0005-0000-0000-000065AC0000}"/>
    <cellStyle name="Percent 55 4 2 2" xfId="43993" xr:uid="{00000000-0005-0000-0000-000066AC0000}"/>
    <cellStyle name="Percent 55 4 3" xfId="43994" xr:uid="{00000000-0005-0000-0000-000067AC0000}"/>
    <cellStyle name="Percent 56" xfId="43995" xr:uid="{00000000-0005-0000-0000-000068AC0000}"/>
    <cellStyle name="Percent 56 2" xfId="43996" xr:uid="{00000000-0005-0000-0000-000069AC0000}"/>
    <cellStyle name="Percent 56 3" xfId="43997" xr:uid="{00000000-0005-0000-0000-00006AAC0000}"/>
    <cellStyle name="Percent 56 3 2" xfId="43998" xr:uid="{00000000-0005-0000-0000-00006BAC0000}"/>
    <cellStyle name="Percent 56 3 2 2" xfId="43999" xr:uid="{00000000-0005-0000-0000-00006CAC0000}"/>
    <cellStyle name="Percent 56 3 3" xfId="44000" xr:uid="{00000000-0005-0000-0000-00006DAC0000}"/>
    <cellStyle name="Percent 56 4" xfId="44001" xr:uid="{00000000-0005-0000-0000-00006EAC0000}"/>
    <cellStyle name="Percent 56 4 2" xfId="44002" xr:uid="{00000000-0005-0000-0000-00006FAC0000}"/>
    <cellStyle name="Percent 56 4 2 2" xfId="44003" xr:uid="{00000000-0005-0000-0000-000070AC0000}"/>
    <cellStyle name="Percent 56 4 3" xfId="44004" xr:uid="{00000000-0005-0000-0000-000071AC0000}"/>
    <cellStyle name="Percent 57" xfId="44005" xr:uid="{00000000-0005-0000-0000-000072AC0000}"/>
    <cellStyle name="Percent 57 2" xfId="44006" xr:uid="{00000000-0005-0000-0000-000073AC0000}"/>
    <cellStyle name="Percent 57 3" xfId="44007" xr:uid="{00000000-0005-0000-0000-000074AC0000}"/>
    <cellStyle name="Percent 57 3 2" xfId="44008" xr:uid="{00000000-0005-0000-0000-000075AC0000}"/>
    <cellStyle name="Percent 57 3 2 2" xfId="44009" xr:uid="{00000000-0005-0000-0000-000076AC0000}"/>
    <cellStyle name="Percent 57 3 3" xfId="44010" xr:uid="{00000000-0005-0000-0000-000077AC0000}"/>
    <cellStyle name="Percent 57 4" xfId="44011" xr:uid="{00000000-0005-0000-0000-000078AC0000}"/>
    <cellStyle name="Percent 57 4 2" xfId="44012" xr:uid="{00000000-0005-0000-0000-000079AC0000}"/>
    <cellStyle name="Percent 57 4 2 2" xfId="44013" xr:uid="{00000000-0005-0000-0000-00007AAC0000}"/>
    <cellStyle name="Percent 57 4 3" xfId="44014" xr:uid="{00000000-0005-0000-0000-00007BAC0000}"/>
    <cellStyle name="Percent 58" xfId="44015" xr:uid="{00000000-0005-0000-0000-00007CAC0000}"/>
    <cellStyle name="Percent 58 2" xfId="44016" xr:uid="{00000000-0005-0000-0000-00007DAC0000}"/>
    <cellStyle name="Percent 58 3" xfId="44017" xr:uid="{00000000-0005-0000-0000-00007EAC0000}"/>
    <cellStyle name="Percent 58 3 2" xfId="44018" xr:uid="{00000000-0005-0000-0000-00007FAC0000}"/>
    <cellStyle name="Percent 58 3 2 2" xfId="44019" xr:uid="{00000000-0005-0000-0000-000080AC0000}"/>
    <cellStyle name="Percent 58 3 3" xfId="44020" xr:uid="{00000000-0005-0000-0000-000081AC0000}"/>
    <cellStyle name="Percent 58 4" xfId="44021" xr:uid="{00000000-0005-0000-0000-000082AC0000}"/>
    <cellStyle name="Percent 58 4 2" xfId="44022" xr:uid="{00000000-0005-0000-0000-000083AC0000}"/>
    <cellStyle name="Percent 58 4 2 2" xfId="44023" xr:uid="{00000000-0005-0000-0000-000084AC0000}"/>
    <cellStyle name="Percent 58 4 3" xfId="44024" xr:uid="{00000000-0005-0000-0000-000085AC0000}"/>
    <cellStyle name="Percent 59" xfId="44025" xr:uid="{00000000-0005-0000-0000-000086AC0000}"/>
    <cellStyle name="Percent 59 2" xfId="44026" xr:uid="{00000000-0005-0000-0000-000087AC0000}"/>
    <cellStyle name="Percent 59 3" xfId="44027" xr:uid="{00000000-0005-0000-0000-000088AC0000}"/>
    <cellStyle name="Percent 59 3 2" xfId="44028" xr:uid="{00000000-0005-0000-0000-000089AC0000}"/>
    <cellStyle name="Percent 59 3 2 2" xfId="44029" xr:uid="{00000000-0005-0000-0000-00008AAC0000}"/>
    <cellStyle name="Percent 59 3 3" xfId="44030" xr:uid="{00000000-0005-0000-0000-00008BAC0000}"/>
    <cellStyle name="Percent 59 4" xfId="44031" xr:uid="{00000000-0005-0000-0000-00008CAC0000}"/>
    <cellStyle name="Percent 59 4 2" xfId="44032" xr:uid="{00000000-0005-0000-0000-00008DAC0000}"/>
    <cellStyle name="Percent 59 4 2 2" xfId="44033" xr:uid="{00000000-0005-0000-0000-00008EAC0000}"/>
    <cellStyle name="Percent 59 4 3" xfId="44034" xr:uid="{00000000-0005-0000-0000-00008FAC0000}"/>
    <cellStyle name="Percent 6" xfId="246" xr:uid="{00000000-0005-0000-0000-000090AC0000}"/>
    <cellStyle name="Percent 6 2" xfId="256" xr:uid="{00000000-0005-0000-0000-000091AC0000}"/>
    <cellStyle name="Percent 6 3" xfId="44036" xr:uid="{00000000-0005-0000-0000-000092AC0000}"/>
    <cellStyle name="Percent 6 3 2" xfId="44037" xr:uid="{00000000-0005-0000-0000-000093AC0000}"/>
    <cellStyle name="Percent 6 3 2 2" xfId="44038" xr:uid="{00000000-0005-0000-0000-000094AC0000}"/>
    <cellStyle name="Percent 6 3 3" xfId="44039" xr:uid="{00000000-0005-0000-0000-000095AC0000}"/>
    <cellStyle name="Percent 6 4" xfId="44040" xr:uid="{00000000-0005-0000-0000-000096AC0000}"/>
    <cellStyle name="Percent 6 4 2" xfId="44041" xr:uid="{00000000-0005-0000-0000-000097AC0000}"/>
    <cellStyle name="Percent 6 4 2 2" xfId="44042" xr:uid="{00000000-0005-0000-0000-000098AC0000}"/>
    <cellStyle name="Percent 6 4 3" xfId="44043" xr:uid="{00000000-0005-0000-0000-000099AC0000}"/>
    <cellStyle name="Percent 6 5" xfId="44035" xr:uid="{00000000-0005-0000-0000-00009AAC0000}"/>
    <cellStyle name="Percent 60" xfId="44044" xr:uid="{00000000-0005-0000-0000-00009BAC0000}"/>
    <cellStyle name="Percent 60 2" xfId="44045" xr:uid="{00000000-0005-0000-0000-00009CAC0000}"/>
    <cellStyle name="Percent 60 3" xfId="44046" xr:uid="{00000000-0005-0000-0000-00009DAC0000}"/>
    <cellStyle name="Percent 60 3 2" xfId="44047" xr:uid="{00000000-0005-0000-0000-00009EAC0000}"/>
    <cellStyle name="Percent 60 3 2 2" xfId="44048" xr:uid="{00000000-0005-0000-0000-00009FAC0000}"/>
    <cellStyle name="Percent 60 3 3" xfId="44049" xr:uid="{00000000-0005-0000-0000-0000A0AC0000}"/>
    <cellStyle name="Percent 60 4" xfId="44050" xr:uid="{00000000-0005-0000-0000-0000A1AC0000}"/>
    <cellStyle name="Percent 60 4 2" xfId="44051" xr:uid="{00000000-0005-0000-0000-0000A2AC0000}"/>
    <cellStyle name="Percent 60 4 2 2" xfId="44052" xr:uid="{00000000-0005-0000-0000-0000A3AC0000}"/>
    <cellStyle name="Percent 60 4 3" xfId="44053" xr:uid="{00000000-0005-0000-0000-0000A4AC0000}"/>
    <cellStyle name="Percent 61" xfId="44054" xr:uid="{00000000-0005-0000-0000-0000A5AC0000}"/>
    <cellStyle name="Percent 61 2" xfId="44055" xr:uid="{00000000-0005-0000-0000-0000A6AC0000}"/>
    <cellStyle name="Percent 61 3" xfId="44056" xr:uid="{00000000-0005-0000-0000-0000A7AC0000}"/>
    <cellStyle name="Percent 61 3 2" xfId="44057" xr:uid="{00000000-0005-0000-0000-0000A8AC0000}"/>
    <cellStyle name="Percent 61 3 2 2" xfId="44058" xr:uid="{00000000-0005-0000-0000-0000A9AC0000}"/>
    <cellStyle name="Percent 61 3 3" xfId="44059" xr:uid="{00000000-0005-0000-0000-0000AAAC0000}"/>
    <cellStyle name="Percent 61 4" xfId="44060" xr:uid="{00000000-0005-0000-0000-0000ABAC0000}"/>
    <cellStyle name="Percent 61 4 2" xfId="44061" xr:uid="{00000000-0005-0000-0000-0000ACAC0000}"/>
    <cellStyle name="Percent 61 4 2 2" xfId="44062" xr:uid="{00000000-0005-0000-0000-0000ADAC0000}"/>
    <cellStyle name="Percent 61 4 3" xfId="44063" xr:uid="{00000000-0005-0000-0000-0000AEAC0000}"/>
    <cellStyle name="Percent 62" xfId="44064" xr:uid="{00000000-0005-0000-0000-0000AFAC0000}"/>
    <cellStyle name="Percent 62 2" xfId="44065" xr:uid="{00000000-0005-0000-0000-0000B0AC0000}"/>
    <cellStyle name="Percent 62 3" xfId="44066" xr:uid="{00000000-0005-0000-0000-0000B1AC0000}"/>
    <cellStyle name="Percent 62 3 2" xfId="44067" xr:uid="{00000000-0005-0000-0000-0000B2AC0000}"/>
    <cellStyle name="Percent 62 3 2 2" xfId="44068" xr:uid="{00000000-0005-0000-0000-0000B3AC0000}"/>
    <cellStyle name="Percent 62 3 3" xfId="44069" xr:uid="{00000000-0005-0000-0000-0000B4AC0000}"/>
    <cellStyle name="Percent 62 4" xfId="44070" xr:uid="{00000000-0005-0000-0000-0000B5AC0000}"/>
    <cellStyle name="Percent 62 4 2" xfId="44071" xr:uid="{00000000-0005-0000-0000-0000B6AC0000}"/>
    <cellStyle name="Percent 62 4 2 2" xfId="44072" xr:uid="{00000000-0005-0000-0000-0000B7AC0000}"/>
    <cellStyle name="Percent 62 4 3" xfId="44073" xr:uid="{00000000-0005-0000-0000-0000B8AC0000}"/>
    <cellStyle name="Percent 63" xfId="44074" xr:uid="{00000000-0005-0000-0000-0000B9AC0000}"/>
    <cellStyle name="Percent 63 2" xfId="44075" xr:uid="{00000000-0005-0000-0000-0000BAAC0000}"/>
    <cellStyle name="Percent 63 3" xfId="44076" xr:uid="{00000000-0005-0000-0000-0000BBAC0000}"/>
    <cellStyle name="Percent 63 3 2" xfId="44077" xr:uid="{00000000-0005-0000-0000-0000BCAC0000}"/>
    <cellStyle name="Percent 63 3 2 2" xfId="44078" xr:uid="{00000000-0005-0000-0000-0000BDAC0000}"/>
    <cellStyle name="Percent 63 3 3" xfId="44079" xr:uid="{00000000-0005-0000-0000-0000BEAC0000}"/>
    <cellStyle name="Percent 63 4" xfId="44080" xr:uid="{00000000-0005-0000-0000-0000BFAC0000}"/>
    <cellStyle name="Percent 63 4 2" xfId="44081" xr:uid="{00000000-0005-0000-0000-0000C0AC0000}"/>
    <cellStyle name="Percent 63 4 2 2" xfId="44082" xr:uid="{00000000-0005-0000-0000-0000C1AC0000}"/>
    <cellStyle name="Percent 63 4 3" xfId="44083" xr:uid="{00000000-0005-0000-0000-0000C2AC0000}"/>
    <cellStyle name="Percent 64" xfId="44084" xr:uid="{00000000-0005-0000-0000-0000C3AC0000}"/>
    <cellStyle name="Percent 64 2" xfId="44085" xr:uid="{00000000-0005-0000-0000-0000C4AC0000}"/>
    <cellStyle name="Percent 64 3" xfId="44086" xr:uid="{00000000-0005-0000-0000-0000C5AC0000}"/>
    <cellStyle name="Percent 64 3 2" xfId="44087" xr:uid="{00000000-0005-0000-0000-0000C6AC0000}"/>
    <cellStyle name="Percent 64 3 2 2" xfId="44088" xr:uid="{00000000-0005-0000-0000-0000C7AC0000}"/>
    <cellStyle name="Percent 64 3 3" xfId="44089" xr:uid="{00000000-0005-0000-0000-0000C8AC0000}"/>
    <cellStyle name="Percent 64 4" xfId="44090" xr:uid="{00000000-0005-0000-0000-0000C9AC0000}"/>
    <cellStyle name="Percent 64 4 2" xfId="44091" xr:uid="{00000000-0005-0000-0000-0000CAAC0000}"/>
    <cellStyle name="Percent 64 4 2 2" xfId="44092" xr:uid="{00000000-0005-0000-0000-0000CBAC0000}"/>
    <cellStyle name="Percent 64 4 3" xfId="44093" xr:uid="{00000000-0005-0000-0000-0000CCAC0000}"/>
    <cellStyle name="Percent 65" xfId="44094" xr:uid="{00000000-0005-0000-0000-0000CDAC0000}"/>
    <cellStyle name="Percent 65 2" xfId="44095" xr:uid="{00000000-0005-0000-0000-0000CEAC0000}"/>
    <cellStyle name="Percent 65 3" xfId="44096" xr:uid="{00000000-0005-0000-0000-0000CFAC0000}"/>
    <cellStyle name="Percent 65 3 2" xfId="44097" xr:uid="{00000000-0005-0000-0000-0000D0AC0000}"/>
    <cellStyle name="Percent 65 3 2 2" xfId="44098" xr:uid="{00000000-0005-0000-0000-0000D1AC0000}"/>
    <cellStyle name="Percent 65 3 3" xfId="44099" xr:uid="{00000000-0005-0000-0000-0000D2AC0000}"/>
    <cellStyle name="Percent 65 4" xfId="44100" xr:uid="{00000000-0005-0000-0000-0000D3AC0000}"/>
    <cellStyle name="Percent 65 4 2" xfId="44101" xr:uid="{00000000-0005-0000-0000-0000D4AC0000}"/>
    <cellStyle name="Percent 65 4 2 2" xfId="44102" xr:uid="{00000000-0005-0000-0000-0000D5AC0000}"/>
    <cellStyle name="Percent 65 4 3" xfId="44103" xr:uid="{00000000-0005-0000-0000-0000D6AC0000}"/>
    <cellStyle name="Percent 66" xfId="44104" xr:uid="{00000000-0005-0000-0000-0000D7AC0000}"/>
    <cellStyle name="Percent 66 2" xfId="44105" xr:uid="{00000000-0005-0000-0000-0000D8AC0000}"/>
    <cellStyle name="Percent 66 3" xfId="44106" xr:uid="{00000000-0005-0000-0000-0000D9AC0000}"/>
    <cellStyle name="Percent 66 3 2" xfId="44107" xr:uid="{00000000-0005-0000-0000-0000DAAC0000}"/>
    <cellStyle name="Percent 66 3 2 2" xfId="44108" xr:uid="{00000000-0005-0000-0000-0000DBAC0000}"/>
    <cellStyle name="Percent 66 3 3" xfId="44109" xr:uid="{00000000-0005-0000-0000-0000DCAC0000}"/>
    <cellStyle name="Percent 66 4" xfId="44110" xr:uid="{00000000-0005-0000-0000-0000DDAC0000}"/>
    <cellStyle name="Percent 66 4 2" xfId="44111" xr:uid="{00000000-0005-0000-0000-0000DEAC0000}"/>
    <cellStyle name="Percent 66 4 2 2" xfId="44112" xr:uid="{00000000-0005-0000-0000-0000DFAC0000}"/>
    <cellStyle name="Percent 66 4 3" xfId="44113" xr:uid="{00000000-0005-0000-0000-0000E0AC0000}"/>
    <cellStyle name="Percent 67" xfId="44114" xr:uid="{00000000-0005-0000-0000-0000E1AC0000}"/>
    <cellStyle name="Percent 67 2" xfId="44115" xr:uid="{00000000-0005-0000-0000-0000E2AC0000}"/>
    <cellStyle name="Percent 67 3" xfId="44116" xr:uid="{00000000-0005-0000-0000-0000E3AC0000}"/>
    <cellStyle name="Percent 67 3 2" xfId="44117" xr:uid="{00000000-0005-0000-0000-0000E4AC0000}"/>
    <cellStyle name="Percent 67 3 2 2" xfId="44118" xr:uid="{00000000-0005-0000-0000-0000E5AC0000}"/>
    <cellStyle name="Percent 67 3 3" xfId="44119" xr:uid="{00000000-0005-0000-0000-0000E6AC0000}"/>
    <cellStyle name="Percent 67 4" xfId="44120" xr:uid="{00000000-0005-0000-0000-0000E7AC0000}"/>
    <cellStyle name="Percent 67 4 2" xfId="44121" xr:uid="{00000000-0005-0000-0000-0000E8AC0000}"/>
    <cellStyle name="Percent 67 4 2 2" xfId="44122" xr:uid="{00000000-0005-0000-0000-0000E9AC0000}"/>
    <cellStyle name="Percent 67 4 3" xfId="44123" xr:uid="{00000000-0005-0000-0000-0000EAAC0000}"/>
    <cellStyle name="Percent 68" xfId="44124" xr:uid="{00000000-0005-0000-0000-0000EBAC0000}"/>
    <cellStyle name="Percent 68 2" xfId="44125" xr:uid="{00000000-0005-0000-0000-0000ECAC0000}"/>
    <cellStyle name="Percent 68 3" xfId="44126" xr:uid="{00000000-0005-0000-0000-0000EDAC0000}"/>
    <cellStyle name="Percent 68 3 2" xfId="44127" xr:uid="{00000000-0005-0000-0000-0000EEAC0000}"/>
    <cellStyle name="Percent 68 3 2 2" xfId="44128" xr:uid="{00000000-0005-0000-0000-0000EFAC0000}"/>
    <cellStyle name="Percent 68 3 3" xfId="44129" xr:uid="{00000000-0005-0000-0000-0000F0AC0000}"/>
    <cellStyle name="Percent 68 4" xfId="44130" xr:uid="{00000000-0005-0000-0000-0000F1AC0000}"/>
    <cellStyle name="Percent 68 4 2" xfId="44131" xr:uid="{00000000-0005-0000-0000-0000F2AC0000}"/>
    <cellStyle name="Percent 68 4 2 2" xfId="44132" xr:uid="{00000000-0005-0000-0000-0000F3AC0000}"/>
    <cellStyle name="Percent 68 4 3" xfId="44133" xr:uid="{00000000-0005-0000-0000-0000F4AC0000}"/>
    <cellStyle name="Percent 69" xfId="44134" xr:uid="{00000000-0005-0000-0000-0000F5AC0000}"/>
    <cellStyle name="Percent 69 2" xfId="44135" xr:uid="{00000000-0005-0000-0000-0000F6AC0000}"/>
    <cellStyle name="Percent 69 3" xfId="44136" xr:uid="{00000000-0005-0000-0000-0000F7AC0000}"/>
    <cellStyle name="Percent 69 3 2" xfId="44137" xr:uid="{00000000-0005-0000-0000-0000F8AC0000}"/>
    <cellStyle name="Percent 69 3 2 2" xfId="44138" xr:uid="{00000000-0005-0000-0000-0000F9AC0000}"/>
    <cellStyle name="Percent 69 3 3" xfId="44139" xr:uid="{00000000-0005-0000-0000-0000FAAC0000}"/>
    <cellStyle name="Percent 69 4" xfId="44140" xr:uid="{00000000-0005-0000-0000-0000FBAC0000}"/>
    <cellStyle name="Percent 69 4 2" xfId="44141" xr:uid="{00000000-0005-0000-0000-0000FCAC0000}"/>
    <cellStyle name="Percent 69 4 2 2" xfId="44142" xr:uid="{00000000-0005-0000-0000-0000FDAC0000}"/>
    <cellStyle name="Percent 69 4 3" xfId="44143" xr:uid="{00000000-0005-0000-0000-0000FEAC0000}"/>
    <cellStyle name="Percent 7" xfId="44144" xr:uid="{00000000-0005-0000-0000-0000FFAC0000}"/>
    <cellStyle name="Percent 7 2" xfId="44145" xr:uid="{00000000-0005-0000-0000-000000AD0000}"/>
    <cellStyle name="Percent 7 2 2" xfId="44146" xr:uid="{00000000-0005-0000-0000-000001AD0000}"/>
    <cellStyle name="Percent 7 2 2 2" xfId="44147" xr:uid="{00000000-0005-0000-0000-000002AD0000}"/>
    <cellStyle name="Percent 7 2 3" xfId="44148" xr:uid="{00000000-0005-0000-0000-000003AD0000}"/>
    <cellStyle name="Percent 7 2 3 2" xfId="44149" xr:uid="{00000000-0005-0000-0000-000004AD0000}"/>
    <cellStyle name="Percent 7 2 3 2 2" xfId="44150" xr:uid="{00000000-0005-0000-0000-000005AD0000}"/>
    <cellStyle name="Percent 7 2 3 3" xfId="44151" xr:uid="{00000000-0005-0000-0000-000006AD0000}"/>
    <cellStyle name="Percent 7 2 4" xfId="44152" xr:uid="{00000000-0005-0000-0000-000007AD0000}"/>
    <cellStyle name="Percent 7 3" xfId="44153" xr:uid="{00000000-0005-0000-0000-000008AD0000}"/>
    <cellStyle name="Percent 7 4" xfId="44154" xr:uid="{00000000-0005-0000-0000-000009AD0000}"/>
    <cellStyle name="Percent 7 4 2" xfId="44155" xr:uid="{00000000-0005-0000-0000-00000AAD0000}"/>
    <cellStyle name="Percent 7 4 2 2" xfId="44156" xr:uid="{00000000-0005-0000-0000-00000BAD0000}"/>
    <cellStyle name="Percent 7 4 3" xfId="44157" xr:uid="{00000000-0005-0000-0000-00000CAD0000}"/>
    <cellStyle name="Percent 7 5" xfId="44158" xr:uid="{00000000-0005-0000-0000-00000DAD0000}"/>
    <cellStyle name="Percent 7 5 2" xfId="44159" xr:uid="{00000000-0005-0000-0000-00000EAD0000}"/>
    <cellStyle name="Percent 7 5 2 2" xfId="44160" xr:uid="{00000000-0005-0000-0000-00000FAD0000}"/>
    <cellStyle name="Percent 7 5 3" xfId="44161" xr:uid="{00000000-0005-0000-0000-000010AD0000}"/>
    <cellStyle name="Percent 70" xfId="44162" xr:uid="{00000000-0005-0000-0000-000011AD0000}"/>
    <cellStyle name="Percent 70 2" xfId="44163" xr:uid="{00000000-0005-0000-0000-000012AD0000}"/>
    <cellStyle name="Percent 70 3" xfId="44164" xr:uid="{00000000-0005-0000-0000-000013AD0000}"/>
    <cellStyle name="Percent 70 3 2" xfId="44165" xr:uid="{00000000-0005-0000-0000-000014AD0000}"/>
    <cellStyle name="Percent 70 3 2 2" xfId="44166" xr:uid="{00000000-0005-0000-0000-000015AD0000}"/>
    <cellStyle name="Percent 70 3 3" xfId="44167" xr:uid="{00000000-0005-0000-0000-000016AD0000}"/>
    <cellStyle name="Percent 70 4" xfId="44168" xr:uid="{00000000-0005-0000-0000-000017AD0000}"/>
    <cellStyle name="Percent 70 4 2" xfId="44169" xr:uid="{00000000-0005-0000-0000-000018AD0000}"/>
    <cellStyle name="Percent 70 4 2 2" xfId="44170" xr:uid="{00000000-0005-0000-0000-000019AD0000}"/>
    <cellStyle name="Percent 70 4 3" xfId="44171" xr:uid="{00000000-0005-0000-0000-00001AAD0000}"/>
    <cellStyle name="Percent 71" xfId="44172" xr:uid="{00000000-0005-0000-0000-00001BAD0000}"/>
    <cellStyle name="Percent 71 2" xfId="44173" xr:uid="{00000000-0005-0000-0000-00001CAD0000}"/>
    <cellStyle name="Percent 71 3" xfId="44174" xr:uid="{00000000-0005-0000-0000-00001DAD0000}"/>
    <cellStyle name="Percent 71 3 2" xfId="44175" xr:uid="{00000000-0005-0000-0000-00001EAD0000}"/>
    <cellStyle name="Percent 71 3 2 2" xfId="44176" xr:uid="{00000000-0005-0000-0000-00001FAD0000}"/>
    <cellStyle name="Percent 71 3 3" xfId="44177" xr:uid="{00000000-0005-0000-0000-000020AD0000}"/>
    <cellStyle name="Percent 71 4" xfId="44178" xr:uid="{00000000-0005-0000-0000-000021AD0000}"/>
    <cellStyle name="Percent 71 4 2" xfId="44179" xr:uid="{00000000-0005-0000-0000-000022AD0000}"/>
    <cellStyle name="Percent 71 4 2 2" xfId="44180" xr:uid="{00000000-0005-0000-0000-000023AD0000}"/>
    <cellStyle name="Percent 71 4 3" xfId="44181" xr:uid="{00000000-0005-0000-0000-000024AD0000}"/>
    <cellStyle name="Percent 72" xfId="44182" xr:uid="{00000000-0005-0000-0000-000025AD0000}"/>
    <cellStyle name="Percent 72 2" xfId="44183" xr:uid="{00000000-0005-0000-0000-000026AD0000}"/>
    <cellStyle name="Percent 72 3" xfId="44184" xr:uid="{00000000-0005-0000-0000-000027AD0000}"/>
    <cellStyle name="Percent 72 3 2" xfId="44185" xr:uid="{00000000-0005-0000-0000-000028AD0000}"/>
    <cellStyle name="Percent 72 3 2 2" xfId="44186" xr:uid="{00000000-0005-0000-0000-000029AD0000}"/>
    <cellStyle name="Percent 72 3 3" xfId="44187" xr:uid="{00000000-0005-0000-0000-00002AAD0000}"/>
    <cellStyle name="Percent 72 4" xfId="44188" xr:uid="{00000000-0005-0000-0000-00002BAD0000}"/>
    <cellStyle name="Percent 72 4 2" xfId="44189" xr:uid="{00000000-0005-0000-0000-00002CAD0000}"/>
    <cellStyle name="Percent 72 4 2 2" xfId="44190" xr:uid="{00000000-0005-0000-0000-00002DAD0000}"/>
    <cellStyle name="Percent 72 4 3" xfId="44191" xr:uid="{00000000-0005-0000-0000-00002EAD0000}"/>
    <cellStyle name="Percent 73" xfId="44192" xr:uid="{00000000-0005-0000-0000-00002FAD0000}"/>
    <cellStyle name="Percent 73 2" xfId="44193" xr:uid="{00000000-0005-0000-0000-000030AD0000}"/>
    <cellStyle name="Percent 73 3" xfId="44194" xr:uid="{00000000-0005-0000-0000-000031AD0000}"/>
    <cellStyle name="Percent 73 3 2" xfId="44195" xr:uid="{00000000-0005-0000-0000-000032AD0000}"/>
    <cellStyle name="Percent 73 3 2 2" xfId="44196" xr:uid="{00000000-0005-0000-0000-000033AD0000}"/>
    <cellStyle name="Percent 73 3 3" xfId="44197" xr:uid="{00000000-0005-0000-0000-000034AD0000}"/>
    <cellStyle name="Percent 73 4" xfId="44198" xr:uid="{00000000-0005-0000-0000-000035AD0000}"/>
    <cellStyle name="Percent 73 4 2" xfId="44199" xr:uid="{00000000-0005-0000-0000-000036AD0000}"/>
    <cellStyle name="Percent 73 4 2 2" xfId="44200" xr:uid="{00000000-0005-0000-0000-000037AD0000}"/>
    <cellStyle name="Percent 73 4 3" xfId="44201" xr:uid="{00000000-0005-0000-0000-000038AD0000}"/>
    <cellStyle name="Percent 74" xfId="44202" xr:uid="{00000000-0005-0000-0000-000039AD0000}"/>
    <cellStyle name="Percent 74 2" xfId="44203" xr:uid="{00000000-0005-0000-0000-00003AAD0000}"/>
    <cellStyle name="Percent 74 3" xfId="44204" xr:uid="{00000000-0005-0000-0000-00003BAD0000}"/>
    <cellStyle name="Percent 74 3 2" xfId="44205" xr:uid="{00000000-0005-0000-0000-00003CAD0000}"/>
    <cellStyle name="Percent 74 3 2 2" xfId="44206" xr:uid="{00000000-0005-0000-0000-00003DAD0000}"/>
    <cellStyle name="Percent 74 3 3" xfId="44207" xr:uid="{00000000-0005-0000-0000-00003EAD0000}"/>
    <cellStyle name="Percent 74 4" xfId="44208" xr:uid="{00000000-0005-0000-0000-00003FAD0000}"/>
    <cellStyle name="Percent 74 4 2" xfId="44209" xr:uid="{00000000-0005-0000-0000-000040AD0000}"/>
    <cellStyle name="Percent 74 4 2 2" xfId="44210" xr:uid="{00000000-0005-0000-0000-000041AD0000}"/>
    <cellStyle name="Percent 74 4 3" xfId="44211" xr:uid="{00000000-0005-0000-0000-000042AD0000}"/>
    <cellStyle name="Percent 75" xfId="44212" xr:uid="{00000000-0005-0000-0000-000043AD0000}"/>
    <cellStyle name="Percent 75 2" xfId="44213" xr:uid="{00000000-0005-0000-0000-000044AD0000}"/>
    <cellStyle name="Percent 75 3" xfId="44214" xr:uid="{00000000-0005-0000-0000-000045AD0000}"/>
    <cellStyle name="Percent 75 3 2" xfId="44215" xr:uid="{00000000-0005-0000-0000-000046AD0000}"/>
    <cellStyle name="Percent 75 3 2 2" xfId="44216" xr:uid="{00000000-0005-0000-0000-000047AD0000}"/>
    <cellStyle name="Percent 75 3 3" xfId="44217" xr:uid="{00000000-0005-0000-0000-000048AD0000}"/>
    <cellStyle name="Percent 75 4" xfId="44218" xr:uid="{00000000-0005-0000-0000-000049AD0000}"/>
    <cellStyle name="Percent 75 4 2" xfId="44219" xr:uid="{00000000-0005-0000-0000-00004AAD0000}"/>
    <cellStyle name="Percent 75 4 2 2" xfId="44220" xr:uid="{00000000-0005-0000-0000-00004BAD0000}"/>
    <cellStyle name="Percent 75 4 3" xfId="44221" xr:uid="{00000000-0005-0000-0000-00004CAD0000}"/>
    <cellStyle name="Percent 76" xfId="44222" xr:uid="{00000000-0005-0000-0000-00004DAD0000}"/>
    <cellStyle name="Percent 76 2" xfId="44223" xr:uid="{00000000-0005-0000-0000-00004EAD0000}"/>
    <cellStyle name="Percent 76 3" xfId="44224" xr:uid="{00000000-0005-0000-0000-00004FAD0000}"/>
    <cellStyle name="Percent 76 3 2" xfId="44225" xr:uid="{00000000-0005-0000-0000-000050AD0000}"/>
    <cellStyle name="Percent 76 3 2 2" xfId="44226" xr:uid="{00000000-0005-0000-0000-000051AD0000}"/>
    <cellStyle name="Percent 76 3 3" xfId="44227" xr:uid="{00000000-0005-0000-0000-000052AD0000}"/>
    <cellStyle name="Percent 76 4" xfId="44228" xr:uid="{00000000-0005-0000-0000-000053AD0000}"/>
    <cellStyle name="Percent 76 4 2" xfId="44229" xr:uid="{00000000-0005-0000-0000-000054AD0000}"/>
    <cellStyle name="Percent 76 4 2 2" xfId="44230" xr:uid="{00000000-0005-0000-0000-000055AD0000}"/>
    <cellStyle name="Percent 76 4 3" xfId="44231" xr:uid="{00000000-0005-0000-0000-000056AD0000}"/>
    <cellStyle name="Percent 77" xfId="44232" xr:uid="{00000000-0005-0000-0000-000057AD0000}"/>
    <cellStyle name="Percent 77 2" xfId="44233" xr:uid="{00000000-0005-0000-0000-000058AD0000}"/>
    <cellStyle name="Percent 77 3" xfId="44234" xr:uid="{00000000-0005-0000-0000-000059AD0000}"/>
    <cellStyle name="Percent 77 3 2" xfId="44235" xr:uid="{00000000-0005-0000-0000-00005AAD0000}"/>
    <cellStyle name="Percent 77 3 2 2" xfId="44236" xr:uid="{00000000-0005-0000-0000-00005BAD0000}"/>
    <cellStyle name="Percent 77 3 3" xfId="44237" xr:uid="{00000000-0005-0000-0000-00005CAD0000}"/>
    <cellStyle name="Percent 77 4" xfId="44238" xr:uid="{00000000-0005-0000-0000-00005DAD0000}"/>
    <cellStyle name="Percent 77 4 2" xfId="44239" xr:uid="{00000000-0005-0000-0000-00005EAD0000}"/>
    <cellStyle name="Percent 77 4 2 2" xfId="44240" xr:uid="{00000000-0005-0000-0000-00005FAD0000}"/>
    <cellStyle name="Percent 77 4 3" xfId="44241" xr:uid="{00000000-0005-0000-0000-000060AD0000}"/>
    <cellStyle name="Percent 78" xfId="44242" xr:uid="{00000000-0005-0000-0000-000061AD0000}"/>
    <cellStyle name="Percent 78 2" xfId="44243" xr:uid="{00000000-0005-0000-0000-000062AD0000}"/>
    <cellStyle name="Percent 78 3" xfId="44244" xr:uid="{00000000-0005-0000-0000-000063AD0000}"/>
    <cellStyle name="Percent 78 3 2" xfId="44245" xr:uid="{00000000-0005-0000-0000-000064AD0000}"/>
    <cellStyle name="Percent 78 3 2 2" xfId="44246" xr:uid="{00000000-0005-0000-0000-000065AD0000}"/>
    <cellStyle name="Percent 78 3 3" xfId="44247" xr:uid="{00000000-0005-0000-0000-000066AD0000}"/>
    <cellStyle name="Percent 78 4" xfId="44248" xr:uid="{00000000-0005-0000-0000-000067AD0000}"/>
    <cellStyle name="Percent 78 4 2" xfId="44249" xr:uid="{00000000-0005-0000-0000-000068AD0000}"/>
    <cellStyle name="Percent 78 4 2 2" xfId="44250" xr:uid="{00000000-0005-0000-0000-000069AD0000}"/>
    <cellStyle name="Percent 78 4 3" xfId="44251" xr:uid="{00000000-0005-0000-0000-00006AAD0000}"/>
    <cellStyle name="Percent 79" xfId="44252" xr:uid="{00000000-0005-0000-0000-00006BAD0000}"/>
    <cellStyle name="Percent 79 2" xfId="44253" xr:uid="{00000000-0005-0000-0000-00006CAD0000}"/>
    <cellStyle name="Percent 79 3" xfId="44254" xr:uid="{00000000-0005-0000-0000-00006DAD0000}"/>
    <cellStyle name="Percent 79 3 2" xfId="44255" xr:uid="{00000000-0005-0000-0000-00006EAD0000}"/>
    <cellStyle name="Percent 79 3 2 2" xfId="44256" xr:uid="{00000000-0005-0000-0000-00006FAD0000}"/>
    <cellStyle name="Percent 79 3 3" xfId="44257" xr:uid="{00000000-0005-0000-0000-000070AD0000}"/>
    <cellStyle name="Percent 79 4" xfId="44258" xr:uid="{00000000-0005-0000-0000-000071AD0000}"/>
    <cellStyle name="Percent 79 4 2" xfId="44259" xr:uid="{00000000-0005-0000-0000-000072AD0000}"/>
    <cellStyle name="Percent 79 4 2 2" xfId="44260" xr:uid="{00000000-0005-0000-0000-000073AD0000}"/>
    <cellStyle name="Percent 79 4 3" xfId="44261" xr:uid="{00000000-0005-0000-0000-000074AD0000}"/>
    <cellStyle name="Percent 8" xfId="44262" xr:uid="{00000000-0005-0000-0000-000075AD0000}"/>
    <cellStyle name="Percent 8 2" xfId="44263" xr:uid="{00000000-0005-0000-0000-000076AD0000}"/>
    <cellStyle name="Percent 8 2 2" xfId="44264" xr:uid="{00000000-0005-0000-0000-000077AD0000}"/>
    <cellStyle name="Percent 8 2 2 2" xfId="44265" xr:uid="{00000000-0005-0000-0000-000078AD0000}"/>
    <cellStyle name="Percent 8 2 3" xfId="44266" xr:uid="{00000000-0005-0000-0000-000079AD0000}"/>
    <cellStyle name="Percent 8 2 3 2" xfId="44267" xr:uid="{00000000-0005-0000-0000-00007AAD0000}"/>
    <cellStyle name="Percent 8 2 3 2 2" xfId="44268" xr:uid="{00000000-0005-0000-0000-00007BAD0000}"/>
    <cellStyle name="Percent 8 2 3 3" xfId="44269" xr:uid="{00000000-0005-0000-0000-00007CAD0000}"/>
    <cellStyle name="Percent 8 2 4" xfId="44270" xr:uid="{00000000-0005-0000-0000-00007DAD0000}"/>
    <cellStyle name="Percent 8 2 4 2" xfId="44271" xr:uid="{00000000-0005-0000-0000-00007EAD0000}"/>
    <cellStyle name="Percent 8 2 4 2 2" xfId="44272" xr:uid="{00000000-0005-0000-0000-00007FAD0000}"/>
    <cellStyle name="Percent 8 2 4 3" xfId="44273" xr:uid="{00000000-0005-0000-0000-000080AD0000}"/>
    <cellStyle name="Percent 8 2 5" xfId="44274" xr:uid="{00000000-0005-0000-0000-000081AD0000}"/>
    <cellStyle name="Percent 8 3" xfId="44275" xr:uid="{00000000-0005-0000-0000-000082AD0000}"/>
    <cellStyle name="Percent 8 3 2" xfId="44276" xr:uid="{00000000-0005-0000-0000-000083AD0000}"/>
    <cellStyle name="Percent 8 3 2 2" xfId="44277" xr:uid="{00000000-0005-0000-0000-000084AD0000}"/>
    <cellStyle name="Percent 8 3 3" xfId="44278" xr:uid="{00000000-0005-0000-0000-000085AD0000}"/>
    <cellStyle name="Percent 8 3 3 2" xfId="44279" xr:uid="{00000000-0005-0000-0000-000086AD0000}"/>
    <cellStyle name="Percent 8 3 3 2 2" xfId="44280" xr:uid="{00000000-0005-0000-0000-000087AD0000}"/>
    <cellStyle name="Percent 8 3 3 3" xfId="44281" xr:uid="{00000000-0005-0000-0000-000088AD0000}"/>
    <cellStyle name="Percent 8 3 4" xfId="44282" xr:uid="{00000000-0005-0000-0000-000089AD0000}"/>
    <cellStyle name="Percent 8 4" xfId="44283" xr:uid="{00000000-0005-0000-0000-00008AAD0000}"/>
    <cellStyle name="Percent 8 5" xfId="44284" xr:uid="{00000000-0005-0000-0000-00008BAD0000}"/>
    <cellStyle name="Percent 8 5 2" xfId="44285" xr:uid="{00000000-0005-0000-0000-00008CAD0000}"/>
    <cellStyle name="Percent 8 5 2 2" xfId="44286" xr:uid="{00000000-0005-0000-0000-00008DAD0000}"/>
    <cellStyle name="Percent 8 5 3" xfId="44287" xr:uid="{00000000-0005-0000-0000-00008EAD0000}"/>
    <cellStyle name="Percent 8 6" xfId="44288" xr:uid="{00000000-0005-0000-0000-00008FAD0000}"/>
    <cellStyle name="Percent 8 6 2" xfId="44289" xr:uid="{00000000-0005-0000-0000-000090AD0000}"/>
    <cellStyle name="Percent 8 6 2 2" xfId="44290" xr:uid="{00000000-0005-0000-0000-000091AD0000}"/>
    <cellStyle name="Percent 8 6 3" xfId="44291" xr:uid="{00000000-0005-0000-0000-000092AD0000}"/>
    <cellStyle name="Percent 80" xfId="44292" xr:uid="{00000000-0005-0000-0000-000093AD0000}"/>
    <cellStyle name="Percent 80 2" xfId="44293" xr:uid="{00000000-0005-0000-0000-000094AD0000}"/>
    <cellStyle name="Percent 80 3" xfId="44294" xr:uid="{00000000-0005-0000-0000-000095AD0000}"/>
    <cellStyle name="Percent 80 3 2" xfId="44295" xr:uid="{00000000-0005-0000-0000-000096AD0000}"/>
    <cellStyle name="Percent 80 3 2 2" xfId="44296" xr:uid="{00000000-0005-0000-0000-000097AD0000}"/>
    <cellStyle name="Percent 80 3 3" xfId="44297" xr:uid="{00000000-0005-0000-0000-000098AD0000}"/>
    <cellStyle name="Percent 80 4" xfId="44298" xr:uid="{00000000-0005-0000-0000-000099AD0000}"/>
    <cellStyle name="Percent 80 4 2" xfId="44299" xr:uid="{00000000-0005-0000-0000-00009AAD0000}"/>
    <cellStyle name="Percent 80 4 2 2" xfId="44300" xr:uid="{00000000-0005-0000-0000-00009BAD0000}"/>
    <cellStyle name="Percent 80 4 3" xfId="44301" xr:uid="{00000000-0005-0000-0000-00009CAD0000}"/>
    <cellStyle name="Percent 81" xfId="44302" xr:uid="{00000000-0005-0000-0000-00009DAD0000}"/>
    <cellStyle name="Percent 81 2" xfId="44303" xr:uid="{00000000-0005-0000-0000-00009EAD0000}"/>
    <cellStyle name="Percent 81 3" xfId="44304" xr:uid="{00000000-0005-0000-0000-00009FAD0000}"/>
    <cellStyle name="Percent 81 3 2" xfId="44305" xr:uid="{00000000-0005-0000-0000-0000A0AD0000}"/>
    <cellStyle name="Percent 81 3 2 2" xfId="44306" xr:uid="{00000000-0005-0000-0000-0000A1AD0000}"/>
    <cellStyle name="Percent 81 3 3" xfId="44307" xr:uid="{00000000-0005-0000-0000-0000A2AD0000}"/>
    <cellStyle name="Percent 81 4" xfId="44308" xr:uid="{00000000-0005-0000-0000-0000A3AD0000}"/>
    <cellStyle name="Percent 81 4 2" xfId="44309" xr:uid="{00000000-0005-0000-0000-0000A4AD0000}"/>
    <cellStyle name="Percent 81 4 2 2" xfId="44310" xr:uid="{00000000-0005-0000-0000-0000A5AD0000}"/>
    <cellStyle name="Percent 81 4 3" xfId="44311" xr:uid="{00000000-0005-0000-0000-0000A6AD0000}"/>
    <cellStyle name="Percent 82" xfId="44312" xr:uid="{00000000-0005-0000-0000-0000A7AD0000}"/>
    <cellStyle name="Percent 82 2" xfId="44313" xr:uid="{00000000-0005-0000-0000-0000A8AD0000}"/>
    <cellStyle name="Percent 82 3" xfId="44314" xr:uid="{00000000-0005-0000-0000-0000A9AD0000}"/>
    <cellStyle name="Percent 82 3 2" xfId="44315" xr:uid="{00000000-0005-0000-0000-0000AAAD0000}"/>
    <cellStyle name="Percent 82 3 2 2" xfId="44316" xr:uid="{00000000-0005-0000-0000-0000ABAD0000}"/>
    <cellStyle name="Percent 82 3 3" xfId="44317" xr:uid="{00000000-0005-0000-0000-0000ACAD0000}"/>
    <cellStyle name="Percent 82 4" xfId="44318" xr:uid="{00000000-0005-0000-0000-0000ADAD0000}"/>
    <cellStyle name="Percent 82 4 2" xfId="44319" xr:uid="{00000000-0005-0000-0000-0000AEAD0000}"/>
    <cellStyle name="Percent 82 4 2 2" xfId="44320" xr:uid="{00000000-0005-0000-0000-0000AFAD0000}"/>
    <cellStyle name="Percent 82 4 3" xfId="44321" xr:uid="{00000000-0005-0000-0000-0000B0AD0000}"/>
    <cellStyle name="Percent 83" xfId="44322" xr:uid="{00000000-0005-0000-0000-0000B1AD0000}"/>
    <cellStyle name="Percent 83 2" xfId="44323" xr:uid="{00000000-0005-0000-0000-0000B2AD0000}"/>
    <cellStyle name="Percent 83 3" xfId="44324" xr:uid="{00000000-0005-0000-0000-0000B3AD0000}"/>
    <cellStyle name="Percent 83 3 2" xfId="44325" xr:uid="{00000000-0005-0000-0000-0000B4AD0000}"/>
    <cellStyle name="Percent 83 3 2 2" xfId="44326" xr:uid="{00000000-0005-0000-0000-0000B5AD0000}"/>
    <cellStyle name="Percent 83 3 3" xfId="44327" xr:uid="{00000000-0005-0000-0000-0000B6AD0000}"/>
    <cellStyle name="Percent 83 4" xfId="44328" xr:uid="{00000000-0005-0000-0000-0000B7AD0000}"/>
    <cellStyle name="Percent 83 4 2" xfId="44329" xr:uid="{00000000-0005-0000-0000-0000B8AD0000}"/>
    <cellStyle name="Percent 83 4 2 2" xfId="44330" xr:uid="{00000000-0005-0000-0000-0000B9AD0000}"/>
    <cellStyle name="Percent 83 4 3" xfId="44331" xr:uid="{00000000-0005-0000-0000-0000BAAD0000}"/>
    <cellStyle name="Percent 84" xfId="44332" xr:uid="{00000000-0005-0000-0000-0000BBAD0000}"/>
    <cellStyle name="Percent 84 2" xfId="44333" xr:uid="{00000000-0005-0000-0000-0000BCAD0000}"/>
    <cellStyle name="Percent 84 3" xfId="44334" xr:uid="{00000000-0005-0000-0000-0000BDAD0000}"/>
    <cellStyle name="Percent 84 3 2" xfId="44335" xr:uid="{00000000-0005-0000-0000-0000BEAD0000}"/>
    <cellStyle name="Percent 84 3 2 2" xfId="44336" xr:uid="{00000000-0005-0000-0000-0000BFAD0000}"/>
    <cellStyle name="Percent 84 3 3" xfId="44337" xr:uid="{00000000-0005-0000-0000-0000C0AD0000}"/>
    <cellStyle name="Percent 84 4" xfId="44338" xr:uid="{00000000-0005-0000-0000-0000C1AD0000}"/>
    <cellStyle name="Percent 84 4 2" xfId="44339" xr:uid="{00000000-0005-0000-0000-0000C2AD0000}"/>
    <cellStyle name="Percent 84 4 2 2" xfId="44340" xr:uid="{00000000-0005-0000-0000-0000C3AD0000}"/>
    <cellStyle name="Percent 84 4 3" xfId="44341" xr:uid="{00000000-0005-0000-0000-0000C4AD0000}"/>
    <cellStyle name="Percent 85" xfId="44342" xr:uid="{00000000-0005-0000-0000-0000C5AD0000}"/>
    <cellStyle name="Percent 85 2" xfId="44343" xr:uid="{00000000-0005-0000-0000-0000C6AD0000}"/>
    <cellStyle name="Percent 85 3" xfId="44344" xr:uid="{00000000-0005-0000-0000-0000C7AD0000}"/>
    <cellStyle name="Percent 85 3 2" xfId="44345" xr:uid="{00000000-0005-0000-0000-0000C8AD0000}"/>
    <cellStyle name="Percent 85 3 2 2" xfId="44346" xr:uid="{00000000-0005-0000-0000-0000C9AD0000}"/>
    <cellStyle name="Percent 85 3 3" xfId="44347" xr:uid="{00000000-0005-0000-0000-0000CAAD0000}"/>
    <cellStyle name="Percent 85 4" xfId="44348" xr:uid="{00000000-0005-0000-0000-0000CBAD0000}"/>
    <cellStyle name="Percent 85 4 2" xfId="44349" xr:uid="{00000000-0005-0000-0000-0000CCAD0000}"/>
    <cellStyle name="Percent 85 4 2 2" xfId="44350" xr:uid="{00000000-0005-0000-0000-0000CDAD0000}"/>
    <cellStyle name="Percent 85 4 3" xfId="44351" xr:uid="{00000000-0005-0000-0000-0000CEAD0000}"/>
    <cellStyle name="Percent 86" xfId="44352" xr:uid="{00000000-0005-0000-0000-0000CFAD0000}"/>
    <cellStyle name="Percent 86 2" xfId="44353" xr:uid="{00000000-0005-0000-0000-0000D0AD0000}"/>
    <cellStyle name="Percent 86 3" xfId="44354" xr:uid="{00000000-0005-0000-0000-0000D1AD0000}"/>
    <cellStyle name="Percent 86 3 2" xfId="44355" xr:uid="{00000000-0005-0000-0000-0000D2AD0000}"/>
    <cellStyle name="Percent 86 3 2 2" xfId="44356" xr:uid="{00000000-0005-0000-0000-0000D3AD0000}"/>
    <cellStyle name="Percent 86 3 3" xfId="44357" xr:uid="{00000000-0005-0000-0000-0000D4AD0000}"/>
    <cellStyle name="Percent 86 4" xfId="44358" xr:uid="{00000000-0005-0000-0000-0000D5AD0000}"/>
    <cellStyle name="Percent 86 4 2" xfId="44359" xr:uid="{00000000-0005-0000-0000-0000D6AD0000}"/>
    <cellStyle name="Percent 86 4 2 2" xfId="44360" xr:uid="{00000000-0005-0000-0000-0000D7AD0000}"/>
    <cellStyle name="Percent 86 4 3" xfId="44361" xr:uid="{00000000-0005-0000-0000-0000D8AD0000}"/>
    <cellStyle name="Percent 87" xfId="44362" xr:uid="{00000000-0005-0000-0000-0000D9AD0000}"/>
    <cellStyle name="Percent 87 2" xfId="44363" xr:uid="{00000000-0005-0000-0000-0000DAAD0000}"/>
    <cellStyle name="Percent 87 3" xfId="44364" xr:uid="{00000000-0005-0000-0000-0000DBAD0000}"/>
    <cellStyle name="Percent 87 3 2" xfId="44365" xr:uid="{00000000-0005-0000-0000-0000DCAD0000}"/>
    <cellStyle name="Percent 87 3 2 2" xfId="44366" xr:uid="{00000000-0005-0000-0000-0000DDAD0000}"/>
    <cellStyle name="Percent 87 3 3" xfId="44367" xr:uid="{00000000-0005-0000-0000-0000DEAD0000}"/>
    <cellStyle name="Percent 87 4" xfId="44368" xr:uid="{00000000-0005-0000-0000-0000DFAD0000}"/>
    <cellStyle name="Percent 87 4 2" xfId="44369" xr:uid="{00000000-0005-0000-0000-0000E0AD0000}"/>
    <cellStyle name="Percent 87 4 2 2" xfId="44370" xr:uid="{00000000-0005-0000-0000-0000E1AD0000}"/>
    <cellStyle name="Percent 87 4 3" xfId="44371" xr:uid="{00000000-0005-0000-0000-0000E2AD0000}"/>
    <cellStyle name="Percent 88" xfId="44372" xr:uid="{00000000-0005-0000-0000-0000E3AD0000}"/>
    <cellStyle name="Percent 88 2" xfId="44373" xr:uid="{00000000-0005-0000-0000-0000E4AD0000}"/>
    <cellStyle name="Percent 88 3" xfId="44374" xr:uid="{00000000-0005-0000-0000-0000E5AD0000}"/>
    <cellStyle name="Percent 88 3 2" xfId="44375" xr:uid="{00000000-0005-0000-0000-0000E6AD0000}"/>
    <cellStyle name="Percent 88 3 2 2" xfId="44376" xr:uid="{00000000-0005-0000-0000-0000E7AD0000}"/>
    <cellStyle name="Percent 88 3 3" xfId="44377" xr:uid="{00000000-0005-0000-0000-0000E8AD0000}"/>
    <cellStyle name="Percent 88 4" xfId="44378" xr:uid="{00000000-0005-0000-0000-0000E9AD0000}"/>
    <cellStyle name="Percent 88 4 2" xfId="44379" xr:uid="{00000000-0005-0000-0000-0000EAAD0000}"/>
    <cellStyle name="Percent 88 4 2 2" xfId="44380" xr:uid="{00000000-0005-0000-0000-0000EBAD0000}"/>
    <cellStyle name="Percent 88 4 3" xfId="44381" xr:uid="{00000000-0005-0000-0000-0000ECAD0000}"/>
    <cellStyle name="Percent 89" xfId="44382" xr:uid="{00000000-0005-0000-0000-0000EDAD0000}"/>
    <cellStyle name="Percent 89 2" xfId="44383" xr:uid="{00000000-0005-0000-0000-0000EEAD0000}"/>
    <cellStyle name="Percent 89 3" xfId="44384" xr:uid="{00000000-0005-0000-0000-0000EFAD0000}"/>
    <cellStyle name="Percent 89 3 2" xfId="44385" xr:uid="{00000000-0005-0000-0000-0000F0AD0000}"/>
    <cellStyle name="Percent 89 3 2 2" xfId="44386" xr:uid="{00000000-0005-0000-0000-0000F1AD0000}"/>
    <cellStyle name="Percent 89 3 3" xfId="44387" xr:uid="{00000000-0005-0000-0000-0000F2AD0000}"/>
    <cellStyle name="Percent 89 4" xfId="44388" xr:uid="{00000000-0005-0000-0000-0000F3AD0000}"/>
    <cellStyle name="Percent 89 4 2" xfId="44389" xr:uid="{00000000-0005-0000-0000-0000F4AD0000}"/>
    <cellStyle name="Percent 89 4 2 2" xfId="44390" xr:uid="{00000000-0005-0000-0000-0000F5AD0000}"/>
    <cellStyle name="Percent 89 4 3" xfId="44391" xr:uid="{00000000-0005-0000-0000-0000F6AD0000}"/>
    <cellStyle name="Percent 9" xfId="44392" xr:uid="{00000000-0005-0000-0000-0000F7AD0000}"/>
    <cellStyle name="Percent 9 2" xfId="44393" xr:uid="{00000000-0005-0000-0000-0000F8AD0000}"/>
    <cellStyle name="Percent 9 3" xfId="44394" xr:uid="{00000000-0005-0000-0000-0000F9AD0000}"/>
    <cellStyle name="Percent 9 3 2" xfId="44395" xr:uid="{00000000-0005-0000-0000-0000FAAD0000}"/>
    <cellStyle name="Percent 9 3 2 2" xfId="44396" xr:uid="{00000000-0005-0000-0000-0000FBAD0000}"/>
    <cellStyle name="Percent 9 3 3" xfId="44397" xr:uid="{00000000-0005-0000-0000-0000FCAD0000}"/>
    <cellStyle name="Percent 9 4" xfId="44398" xr:uid="{00000000-0005-0000-0000-0000FDAD0000}"/>
    <cellStyle name="Percent 9 4 2" xfId="44399" xr:uid="{00000000-0005-0000-0000-0000FEAD0000}"/>
    <cellStyle name="Percent 9 4 2 2" xfId="44400" xr:uid="{00000000-0005-0000-0000-0000FFAD0000}"/>
    <cellStyle name="Percent 9 4 3" xfId="44401" xr:uid="{00000000-0005-0000-0000-000000AE0000}"/>
    <cellStyle name="Percent 90" xfId="44402" xr:uid="{00000000-0005-0000-0000-000001AE0000}"/>
    <cellStyle name="Percent 90 2" xfId="44403" xr:uid="{00000000-0005-0000-0000-000002AE0000}"/>
    <cellStyle name="Percent 90 3" xfId="44404" xr:uid="{00000000-0005-0000-0000-000003AE0000}"/>
    <cellStyle name="Percent 90 3 2" xfId="44405" xr:uid="{00000000-0005-0000-0000-000004AE0000}"/>
    <cellStyle name="Percent 90 3 2 2" xfId="44406" xr:uid="{00000000-0005-0000-0000-000005AE0000}"/>
    <cellStyle name="Percent 90 3 3" xfId="44407" xr:uid="{00000000-0005-0000-0000-000006AE0000}"/>
    <cellStyle name="Percent 90 4" xfId="44408" xr:uid="{00000000-0005-0000-0000-000007AE0000}"/>
    <cellStyle name="Percent 90 4 2" xfId="44409" xr:uid="{00000000-0005-0000-0000-000008AE0000}"/>
    <cellStyle name="Percent 90 4 2 2" xfId="44410" xr:uid="{00000000-0005-0000-0000-000009AE0000}"/>
    <cellStyle name="Percent 90 4 3" xfId="44411" xr:uid="{00000000-0005-0000-0000-00000AAE0000}"/>
    <cellStyle name="Percent 91" xfId="44412" xr:uid="{00000000-0005-0000-0000-00000BAE0000}"/>
    <cellStyle name="Percent 91 2" xfId="44413" xr:uid="{00000000-0005-0000-0000-00000CAE0000}"/>
    <cellStyle name="Percent 91 3" xfId="44414" xr:uid="{00000000-0005-0000-0000-00000DAE0000}"/>
    <cellStyle name="Percent 91 3 2" xfId="44415" xr:uid="{00000000-0005-0000-0000-00000EAE0000}"/>
    <cellStyle name="Percent 91 3 2 2" xfId="44416" xr:uid="{00000000-0005-0000-0000-00000FAE0000}"/>
    <cellStyle name="Percent 91 3 3" xfId="44417" xr:uid="{00000000-0005-0000-0000-000010AE0000}"/>
    <cellStyle name="Percent 91 4" xfId="44418" xr:uid="{00000000-0005-0000-0000-000011AE0000}"/>
    <cellStyle name="Percent 91 4 2" xfId="44419" xr:uid="{00000000-0005-0000-0000-000012AE0000}"/>
    <cellStyle name="Percent 91 4 2 2" xfId="44420" xr:uid="{00000000-0005-0000-0000-000013AE0000}"/>
    <cellStyle name="Percent 91 4 3" xfId="44421" xr:uid="{00000000-0005-0000-0000-000014AE0000}"/>
    <cellStyle name="Percent 92" xfId="44422" xr:uid="{00000000-0005-0000-0000-000015AE0000}"/>
    <cellStyle name="Percent 92 2" xfId="44423" xr:uid="{00000000-0005-0000-0000-000016AE0000}"/>
    <cellStyle name="Percent 92 3" xfId="44424" xr:uid="{00000000-0005-0000-0000-000017AE0000}"/>
    <cellStyle name="Percent 92 3 2" xfId="44425" xr:uid="{00000000-0005-0000-0000-000018AE0000}"/>
    <cellStyle name="Percent 92 3 2 2" xfId="44426" xr:uid="{00000000-0005-0000-0000-000019AE0000}"/>
    <cellStyle name="Percent 92 3 3" xfId="44427" xr:uid="{00000000-0005-0000-0000-00001AAE0000}"/>
    <cellStyle name="Percent 92 4" xfId="44428" xr:uid="{00000000-0005-0000-0000-00001BAE0000}"/>
    <cellStyle name="Percent 92 4 2" xfId="44429" xr:uid="{00000000-0005-0000-0000-00001CAE0000}"/>
    <cellStyle name="Percent 92 4 2 2" xfId="44430" xr:uid="{00000000-0005-0000-0000-00001DAE0000}"/>
    <cellStyle name="Percent 92 4 3" xfId="44431" xr:uid="{00000000-0005-0000-0000-00001EAE0000}"/>
    <cellStyle name="Percent 93" xfId="44432" xr:uid="{00000000-0005-0000-0000-00001FAE0000}"/>
    <cellStyle name="Percent 93 2" xfId="44433" xr:uid="{00000000-0005-0000-0000-000020AE0000}"/>
    <cellStyle name="Percent 93 3" xfId="44434" xr:uid="{00000000-0005-0000-0000-000021AE0000}"/>
    <cellStyle name="Percent 93 3 2" xfId="44435" xr:uid="{00000000-0005-0000-0000-000022AE0000}"/>
    <cellStyle name="Percent 93 3 2 2" xfId="44436" xr:uid="{00000000-0005-0000-0000-000023AE0000}"/>
    <cellStyle name="Percent 93 3 3" xfId="44437" xr:uid="{00000000-0005-0000-0000-000024AE0000}"/>
    <cellStyle name="Percent 93 4" xfId="44438" xr:uid="{00000000-0005-0000-0000-000025AE0000}"/>
    <cellStyle name="Percent 93 4 2" xfId="44439" xr:uid="{00000000-0005-0000-0000-000026AE0000}"/>
    <cellStyle name="Percent 93 4 2 2" xfId="44440" xr:uid="{00000000-0005-0000-0000-000027AE0000}"/>
    <cellStyle name="Percent 93 4 3" xfId="44441" xr:uid="{00000000-0005-0000-0000-000028AE0000}"/>
    <cellStyle name="Percent 94" xfId="44442" xr:uid="{00000000-0005-0000-0000-000029AE0000}"/>
    <cellStyle name="Percent 94 2" xfId="44443" xr:uid="{00000000-0005-0000-0000-00002AAE0000}"/>
    <cellStyle name="Percent 94 3" xfId="44444" xr:uid="{00000000-0005-0000-0000-00002BAE0000}"/>
    <cellStyle name="Percent 94 3 2" xfId="44445" xr:uid="{00000000-0005-0000-0000-00002CAE0000}"/>
    <cellStyle name="Percent 94 3 2 2" xfId="44446" xr:uid="{00000000-0005-0000-0000-00002DAE0000}"/>
    <cellStyle name="Percent 94 3 3" xfId="44447" xr:uid="{00000000-0005-0000-0000-00002EAE0000}"/>
    <cellStyle name="Percent 94 4" xfId="44448" xr:uid="{00000000-0005-0000-0000-00002FAE0000}"/>
    <cellStyle name="Percent 94 4 2" xfId="44449" xr:uid="{00000000-0005-0000-0000-000030AE0000}"/>
    <cellStyle name="Percent 94 4 2 2" xfId="44450" xr:uid="{00000000-0005-0000-0000-000031AE0000}"/>
    <cellStyle name="Percent 94 4 3" xfId="44451" xr:uid="{00000000-0005-0000-0000-000032AE0000}"/>
    <cellStyle name="Percent 95" xfId="44452" xr:uid="{00000000-0005-0000-0000-000033AE0000}"/>
    <cellStyle name="Percent 95 2" xfId="44453" xr:uid="{00000000-0005-0000-0000-000034AE0000}"/>
    <cellStyle name="Percent 95 3" xfId="44454" xr:uid="{00000000-0005-0000-0000-000035AE0000}"/>
    <cellStyle name="Percent 95 3 2" xfId="44455" xr:uid="{00000000-0005-0000-0000-000036AE0000}"/>
    <cellStyle name="Percent 95 3 2 2" xfId="44456" xr:uid="{00000000-0005-0000-0000-000037AE0000}"/>
    <cellStyle name="Percent 95 3 3" xfId="44457" xr:uid="{00000000-0005-0000-0000-000038AE0000}"/>
    <cellStyle name="Percent 95 4" xfId="44458" xr:uid="{00000000-0005-0000-0000-000039AE0000}"/>
    <cellStyle name="Percent 95 4 2" xfId="44459" xr:uid="{00000000-0005-0000-0000-00003AAE0000}"/>
    <cellStyle name="Percent 95 4 2 2" xfId="44460" xr:uid="{00000000-0005-0000-0000-00003BAE0000}"/>
    <cellStyle name="Percent 95 4 3" xfId="44461" xr:uid="{00000000-0005-0000-0000-00003CAE0000}"/>
    <cellStyle name="Percent 96" xfId="44462" xr:uid="{00000000-0005-0000-0000-00003DAE0000}"/>
    <cellStyle name="Percent 96 2" xfId="44463" xr:uid="{00000000-0005-0000-0000-00003EAE0000}"/>
    <cellStyle name="Percent 96 3" xfId="44464" xr:uid="{00000000-0005-0000-0000-00003FAE0000}"/>
    <cellStyle name="Percent 96 3 2" xfId="44465" xr:uid="{00000000-0005-0000-0000-000040AE0000}"/>
    <cellStyle name="Percent 96 3 2 2" xfId="44466" xr:uid="{00000000-0005-0000-0000-000041AE0000}"/>
    <cellStyle name="Percent 96 3 3" xfId="44467" xr:uid="{00000000-0005-0000-0000-000042AE0000}"/>
    <cellStyle name="Percent 96 4" xfId="44468" xr:uid="{00000000-0005-0000-0000-000043AE0000}"/>
    <cellStyle name="Percent 96 4 2" xfId="44469" xr:uid="{00000000-0005-0000-0000-000044AE0000}"/>
    <cellStyle name="Percent 96 4 2 2" xfId="44470" xr:uid="{00000000-0005-0000-0000-000045AE0000}"/>
    <cellStyle name="Percent 96 4 3" xfId="44471" xr:uid="{00000000-0005-0000-0000-000046AE0000}"/>
    <cellStyle name="Percent 97" xfId="44472" xr:uid="{00000000-0005-0000-0000-000047AE0000}"/>
    <cellStyle name="Percent 97 2" xfId="44473" xr:uid="{00000000-0005-0000-0000-000048AE0000}"/>
    <cellStyle name="Percent 97 3" xfId="44474" xr:uid="{00000000-0005-0000-0000-000049AE0000}"/>
    <cellStyle name="Percent 97 3 2" xfId="44475" xr:uid="{00000000-0005-0000-0000-00004AAE0000}"/>
    <cellStyle name="Percent 97 3 2 2" xfId="44476" xr:uid="{00000000-0005-0000-0000-00004BAE0000}"/>
    <cellStyle name="Percent 97 3 3" xfId="44477" xr:uid="{00000000-0005-0000-0000-00004CAE0000}"/>
    <cellStyle name="Percent 97 4" xfId="44478" xr:uid="{00000000-0005-0000-0000-00004DAE0000}"/>
    <cellStyle name="Percent 97 4 2" xfId="44479" xr:uid="{00000000-0005-0000-0000-00004EAE0000}"/>
    <cellStyle name="Percent 97 4 2 2" xfId="44480" xr:uid="{00000000-0005-0000-0000-00004FAE0000}"/>
    <cellStyle name="Percent 97 4 3" xfId="44481" xr:uid="{00000000-0005-0000-0000-000050AE0000}"/>
    <cellStyle name="Percent 98" xfId="44482" xr:uid="{00000000-0005-0000-0000-000051AE0000}"/>
    <cellStyle name="Percent 98 2" xfId="44483" xr:uid="{00000000-0005-0000-0000-000052AE0000}"/>
    <cellStyle name="Percent 98 3" xfId="44484" xr:uid="{00000000-0005-0000-0000-000053AE0000}"/>
    <cellStyle name="Percent 98 3 2" xfId="44485" xr:uid="{00000000-0005-0000-0000-000054AE0000}"/>
    <cellStyle name="Percent 98 3 2 2" xfId="44486" xr:uid="{00000000-0005-0000-0000-000055AE0000}"/>
    <cellStyle name="Percent 98 3 3" xfId="44487" xr:uid="{00000000-0005-0000-0000-000056AE0000}"/>
    <cellStyle name="Percent 98 4" xfId="44488" xr:uid="{00000000-0005-0000-0000-000057AE0000}"/>
    <cellStyle name="Percent 98 4 2" xfId="44489" xr:uid="{00000000-0005-0000-0000-000058AE0000}"/>
    <cellStyle name="Percent 98 4 2 2" xfId="44490" xr:uid="{00000000-0005-0000-0000-000059AE0000}"/>
    <cellStyle name="Percent 98 4 3" xfId="44491" xr:uid="{00000000-0005-0000-0000-00005AAE0000}"/>
    <cellStyle name="Percent 99" xfId="44492" xr:uid="{00000000-0005-0000-0000-00005BAE0000}"/>
    <cellStyle name="Percent 99 2" xfId="44493" xr:uid="{00000000-0005-0000-0000-00005CAE0000}"/>
    <cellStyle name="Percent 99 3" xfId="44494" xr:uid="{00000000-0005-0000-0000-00005DAE0000}"/>
    <cellStyle name="Percent 99 3 2" xfId="44495" xr:uid="{00000000-0005-0000-0000-00005EAE0000}"/>
    <cellStyle name="Percent 99 3 2 2" xfId="44496" xr:uid="{00000000-0005-0000-0000-00005FAE0000}"/>
    <cellStyle name="Percent 99 3 3" xfId="44497" xr:uid="{00000000-0005-0000-0000-000060AE0000}"/>
    <cellStyle name="Percent 99 4" xfId="44498" xr:uid="{00000000-0005-0000-0000-000061AE0000}"/>
    <cellStyle name="Percent 99 4 2" xfId="44499" xr:uid="{00000000-0005-0000-0000-000062AE0000}"/>
    <cellStyle name="Percent 99 4 2 2" xfId="44500" xr:uid="{00000000-0005-0000-0000-000063AE0000}"/>
    <cellStyle name="Percent 99 4 3" xfId="44501" xr:uid="{00000000-0005-0000-0000-000064AE0000}"/>
    <cellStyle name="Percent[0]" xfId="44502" xr:uid="{00000000-0005-0000-0000-000065AE0000}"/>
    <cellStyle name="Percent[00]" xfId="44503" xr:uid="{00000000-0005-0000-0000-000066AE0000}"/>
    <cellStyle name="Percent[00] 2" xfId="44504" xr:uid="{00000000-0005-0000-0000-000067AE0000}"/>
    <cellStyle name="Percent[00] 3" xfId="44505" xr:uid="{00000000-0005-0000-0000-000068AE0000}"/>
    <cellStyle name="Percent[00] 3 2" xfId="44506" xr:uid="{00000000-0005-0000-0000-000069AE0000}"/>
    <cellStyle name="Percent[00] 3 2 2" xfId="44507" xr:uid="{00000000-0005-0000-0000-00006AAE0000}"/>
    <cellStyle name="Percent[00] 3 3" xfId="44508" xr:uid="{00000000-0005-0000-0000-00006BAE0000}"/>
    <cellStyle name="Percent[00] 4" xfId="44509" xr:uid="{00000000-0005-0000-0000-00006CAE0000}"/>
    <cellStyle name="Percent[00] 4 2" xfId="44510" xr:uid="{00000000-0005-0000-0000-00006DAE0000}"/>
    <cellStyle name="Percent[00] 4 2 2" xfId="44511" xr:uid="{00000000-0005-0000-0000-00006EAE0000}"/>
    <cellStyle name="Percent[00] 4 3" xfId="44512" xr:uid="{00000000-0005-0000-0000-00006FAE0000}"/>
    <cellStyle name="Percent1" xfId="44513" xr:uid="{00000000-0005-0000-0000-000070AE0000}"/>
    <cellStyle name="Percent1 2" xfId="44514" xr:uid="{00000000-0005-0000-0000-000071AE0000}"/>
    <cellStyle name="Percent1 3" xfId="44515" xr:uid="{00000000-0005-0000-0000-000072AE0000}"/>
    <cellStyle name="Percent1 3 2" xfId="44516" xr:uid="{00000000-0005-0000-0000-000073AE0000}"/>
    <cellStyle name="Percent1 3 2 2" xfId="44517" xr:uid="{00000000-0005-0000-0000-000074AE0000}"/>
    <cellStyle name="Percent1 3 3" xfId="44518" xr:uid="{00000000-0005-0000-0000-000075AE0000}"/>
    <cellStyle name="Percent1 4" xfId="44519" xr:uid="{00000000-0005-0000-0000-000076AE0000}"/>
    <cellStyle name="Percent1 4 2" xfId="44520" xr:uid="{00000000-0005-0000-0000-000077AE0000}"/>
    <cellStyle name="Percent1 4 2 2" xfId="44521" xr:uid="{00000000-0005-0000-0000-000078AE0000}"/>
    <cellStyle name="Percent1 4 3" xfId="44522" xr:uid="{00000000-0005-0000-0000-000079AE0000}"/>
    <cellStyle name="Placeholder" xfId="44523" xr:uid="{00000000-0005-0000-0000-00007AAE0000}"/>
    <cellStyle name="Placeholder 2" xfId="44524" xr:uid="{00000000-0005-0000-0000-00007BAE0000}"/>
    <cellStyle name="Placeholder 3" xfId="44525" xr:uid="{00000000-0005-0000-0000-00007CAE0000}"/>
    <cellStyle name="Placeholder 3 2" xfId="44526" xr:uid="{00000000-0005-0000-0000-00007DAE0000}"/>
    <cellStyle name="Placeholder 3 2 2" xfId="44527" xr:uid="{00000000-0005-0000-0000-00007EAE0000}"/>
    <cellStyle name="Placeholder 3 3" xfId="44528" xr:uid="{00000000-0005-0000-0000-00007FAE0000}"/>
    <cellStyle name="Placeholder 4" xfId="44529" xr:uid="{00000000-0005-0000-0000-000080AE0000}"/>
    <cellStyle name="Placeholder 4 2" xfId="44530" xr:uid="{00000000-0005-0000-0000-000081AE0000}"/>
    <cellStyle name="Placeholder 4 2 2" xfId="44531" xr:uid="{00000000-0005-0000-0000-000082AE0000}"/>
    <cellStyle name="Placeholder 4 3" xfId="44532" xr:uid="{00000000-0005-0000-0000-000083AE0000}"/>
    <cellStyle name="PSChar" xfId="44533" xr:uid="{00000000-0005-0000-0000-000084AE0000}"/>
    <cellStyle name="PSChar 10" xfId="44534" xr:uid="{00000000-0005-0000-0000-000085AE0000}"/>
    <cellStyle name="PSChar 2" xfId="44535" xr:uid="{00000000-0005-0000-0000-000086AE0000}"/>
    <cellStyle name="PSChar 2 2" xfId="44536" xr:uid="{00000000-0005-0000-0000-000087AE0000}"/>
    <cellStyle name="PSChar 2 2 2" xfId="44537" xr:uid="{00000000-0005-0000-0000-000088AE0000}"/>
    <cellStyle name="PSChar 2 2 2 2" xfId="44538" xr:uid="{00000000-0005-0000-0000-000089AE0000}"/>
    <cellStyle name="PSChar 2 2 3" xfId="44539" xr:uid="{00000000-0005-0000-0000-00008AAE0000}"/>
    <cellStyle name="PSChar 2 2 3 2" xfId="44540" xr:uid="{00000000-0005-0000-0000-00008BAE0000}"/>
    <cellStyle name="PSChar 2 2 3 2 2" xfId="44541" xr:uid="{00000000-0005-0000-0000-00008CAE0000}"/>
    <cellStyle name="PSChar 2 2 3 3" xfId="44542" xr:uid="{00000000-0005-0000-0000-00008DAE0000}"/>
    <cellStyle name="PSChar 2 2 4" xfId="44543" xr:uid="{00000000-0005-0000-0000-00008EAE0000}"/>
    <cellStyle name="PSChar 2 2 4 2" xfId="44544" xr:uid="{00000000-0005-0000-0000-00008FAE0000}"/>
    <cellStyle name="PSChar 2 2 4 2 2" xfId="44545" xr:uid="{00000000-0005-0000-0000-000090AE0000}"/>
    <cellStyle name="PSChar 2 2 4 3" xfId="44546" xr:uid="{00000000-0005-0000-0000-000091AE0000}"/>
    <cellStyle name="PSChar 2 2 5" xfId="44547" xr:uid="{00000000-0005-0000-0000-000092AE0000}"/>
    <cellStyle name="PSChar 2 3" xfId="44548" xr:uid="{00000000-0005-0000-0000-000093AE0000}"/>
    <cellStyle name="PSChar 2 3 2" xfId="44549" xr:uid="{00000000-0005-0000-0000-000094AE0000}"/>
    <cellStyle name="PSChar 2 3 2 2" xfId="44550" xr:uid="{00000000-0005-0000-0000-000095AE0000}"/>
    <cellStyle name="PSChar 2 3 2 2 2" xfId="44551" xr:uid="{00000000-0005-0000-0000-000096AE0000}"/>
    <cellStyle name="PSChar 2 3 2 3" xfId="44552" xr:uid="{00000000-0005-0000-0000-000097AE0000}"/>
    <cellStyle name="PSChar 2 3 2 3 2" xfId="44553" xr:uid="{00000000-0005-0000-0000-000098AE0000}"/>
    <cellStyle name="PSChar 2 3 2 3 2 2" xfId="44554" xr:uid="{00000000-0005-0000-0000-000099AE0000}"/>
    <cellStyle name="PSChar 2 3 2 3 3" xfId="44555" xr:uid="{00000000-0005-0000-0000-00009AAE0000}"/>
    <cellStyle name="PSChar 2 3 2 4" xfId="44556" xr:uid="{00000000-0005-0000-0000-00009BAE0000}"/>
    <cellStyle name="PSChar 2 3 3" xfId="44557" xr:uid="{00000000-0005-0000-0000-00009CAE0000}"/>
    <cellStyle name="PSChar 2 3 3 2" xfId="44558" xr:uid="{00000000-0005-0000-0000-00009DAE0000}"/>
    <cellStyle name="PSChar 2 3 3 2 2" xfId="44559" xr:uid="{00000000-0005-0000-0000-00009EAE0000}"/>
    <cellStyle name="PSChar 2 3 3 3" xfId="44560" xr:uid="{00000000-0005-0000-0000-00009FAE0000}"/>
    <cellStyle name="PSChar 2 3 4" xfId="44561" xr:uid="{00000000-0005-0000-0000-0000A0AE0000}"/>
    <cellStyle name="PSChar 2 3 4 2" xfId="44562" xr:uid="{00000000-0005-0000-0000-0000A1AE0000}"/>
    <cellStyle name="PSChar 2 3 4 2 2" xfId="44563" xr:uid="{00000000-0005-0000-0000-0000A2AE0000}"/>
    <cellStyle name="PSChar 2 3 4 3" xfId="44564" xr:uid="{00000000-0005-0000-0000-0000A3AE0000}"/>
    <cellStyle name="PSChar 2 3 5" xfId="44565" xr:uid="{00000000-0005-0000-0000-0000A4AE0000}"/>
    <cellStyle name="PSChar 2 3 5 2" xfId="44566" xr:uid="{00000000-0005-0000-0000-0000A5AE0000}"/>
    <cellStyle name="PSChar 2 3 5 2 2" xfId="44567" xr:uid="{00000000-0005-0000-0000-0000A6AE0000}"/>
    <cellStyle name="PSChar 2 3 5 3" xfId="44568" xr:uid="{00000000-0005-0000-0000-0000A7AE0000}"/>
    <cellStyle name="PSChar 2 3 6" xfId="44569" xr:uid="{00000000-0005-0000-0000-0000A8AE0000}"/>
    <cellStyle name="PSChar 2 4" xfId="44570" xr:uid="{00000000-0005-0000-0000-0000A9AE0000}"/>
    <cellStyle name="PSChar 2 4 2" xfId="44571" xr:uid="{00000000-0005-0000-0000-0000AAAE0000}"/>
    <cellStyle name="PSChar 2 4 2 2" xfId="44572" xr:uid="{00000000-0005-0000-0000-0000ABAE0000}"/>
    <cellStyle name="PSChar 2 4 3" xfId="44573" xr:uid="{00000000-0005-0000-0000-0000ACAE0000}"/>
    <cellStyle name="PSChar 2 5" xfId="44574" xr:uid="{00000000-0005-0000-0000-0000ADAE0000}"/>
    <cellStyle name="PSChar 2 5 2" xfId="44575" xr:uid="{00000000-0005-0000-0000-0000AEAE0000}"/>
    <cellStyle name="PSChar 2 5 2 2" xfId="44576" xr:uid="{00000000-0005-0000-0000-0000AFAE0000}"/>
    <cellStyle name="PSChar 2 5 3" xfId="44577" xr:uid="{00000000-0005-0000-0000-0000B0AE0000}"/>
    <cellStyle name="PSChar 2 6" xfId="44578" xr:uid="{00000000-0005-0000-0000-0000B1AE0000}"/>
    <cellStyle name="PSChar 2 6 2" xfId="44579" xr:uid="{00000000-0005-0000-0000-0000B2AE0000}"/>
    <cellStyle name="PSChar 2 6 2 2" xfId="44580" xr:uid="{00000000-0005-0000-0000-0000B3AE0000}"/>
    <cellStyle name="PSChar 2 6 3" xfId="44581" xr:uid="{00000000-0005-0000-0000-0000B4AE0000}"/>
    <cellStyle name="PSChar 2 7" xfId="44582" xr:uid="{00000000-0005-0000-0000-0000B5AE0000}"/>
    <cellStyle name="PSChar 3" xfId="44583" xr:uid="{00000000-0005-0000-0000-0000B6AE0000}"/>
    <cellStyle name="PSChar 3 2" xfId="44584" xr:uid="{00000000-0005-0000-0000-0000B7AE0000}"/>
    <cellStyle name="PSChar 3 2 2" xfId="44585" xr:uid="{00000000-0005-0000-0000-0000B8AE0000}"/>
    <cellStyle name="PSChar 3 2 2 2" xfId="44586" xr:uid="{00000000-0005-0000-0000-0000B9AE0000}"/>
    <cellStyle name="PSChar 3 2 3" xfId="44587" xr:uid="{00000000-0005-0000-0000-0000BAAE0000}"/>
    <cellStyle name="PSChar 3 2 3 2" xfId="44588" xr:uid="{00000000-0005-0000-0000-0000BBAE0000}"/>
    <cellStyle name="PSChar 3 2 3 2 2" xfId="44589" xr:uid="{00000000-0005-0000-0000-0000BCAE0000}"/>
    <cellStyle name="PSChar 3 2 3 3" xfId="44590" xr:uid="{00000000-0005-0000-0000-0000BDAE0000}"/>
    <cellStyle name="PSChar 3 2 4" xfId="44591" xr:uid="{00000000-0005-0000-0000-0000BEAE0000}"/>
    <cellStyle name="PSChar 3 2 4 2" xfId="44592" xr:uid="{00000000-0005-0000-0000-0000BFAE0000}"/>
    <cellStyle name="PSChar 3 2 4 2 2" xfId="44593" xr:uid="{00000000-0005-0000-0000-0000C0AE0000}"/>
    <cellStyle name="PSChar 3 2 4 3" xfId="44594" xr:uid="{00000000-0005-0000-0000-0000C1AE0000}"/>
    <cellStyle name="PSChar 3 2 5" xfId="44595" xr:uid="{00000000-0005-0000-0000-0000C2AE0000}"/>
    <cellStyle name="PSChar 3 3" xfId="44596" xr:uid="{00000000-0005-0000-0000-0000C3AE0000}"/>
    <cellStyle name="PSChar 3 3 2" xfId="44597" xr:uid="{00000000-0005-0000-0000-0000C4AE0000}"/>
    <cellStyle name="PSChar 3 3 2 2" xfId="44598" xr:uid="{00000000-0005-0000-0000-0000C5AE0000}"/>
    <cellStyle name="PSChar 3 3 3" xfId="44599" xr:uid="{00000000-0005-0000-0000-0000C6AE0000}"/>
    <cellStyle name="PSChar 3 4" xfId="44600" xr:uid="{00000000-0005-0000-0000-0000C7AE0000}"/>
    <cellStyle name="PSChar 3 4 2" xfId="44601" xr:uid="{00000000-0005-0000-0000-0000C8AE0000}"/>
    <cellStyle name="PSChar 3 4 2 2" xfId="44602" xr:uid="{00000000-0005-0000-0000-0000C9AE0000}"/>
    <cellStyle name="PSChar 3 4 3" xfId="44603" xr:uid="{00000000-0005-0000-0000-0000CAAE0000}"/>
    <cellStyle name="PSChar 3 5" xfId="44604" xr:uid="{00000000-0005-0000-0000-0000CBAE0000}"/>
    <cellStyle name="PSChar 3 5 2" xfId="44605" xr:uid="{00000000-0005-0000-0000-0000CCAE0000}"/>
    <cellStyle name="PSChar 3 5 2 2" xfId="44606" xr:uid="{00000000-0005-0000-0000-0000CDAE0000}"/>
    <cellStyle name="PSChar 3 5 3" xfId="44607" xr:uid="{00000000-0005-0000-0000-0000CEAE0000}"/>
    <cellStyle name="PSChar 3 6" xfId="44608" xr:uid="{00000000-0005-0000-0000-0000CFAE0000}"/>
    <cellStyle name="PSChar 4" xfId="44609" xr:uid="{00000000-0005-0000-0000-0000D0AE0000}"/>
    <cellStyle name="PSChar 4 2" xfId="44610" xr:uid="{00000000-0005-0000-0000-0000D1AE0000}"/>
    <cellStyle name="PSChar 4 2 2" xfId="44611" xr:uid="{00000000-0005-0000-0000-0000D2AE0000}"/>
    <cellStyle name="PSChar 4 2 2 2" xfId="44612" xr:uid="{00000000-0005-0000-0000-0000D3AE0000}"/>
    <cellStyle name="PSChar 4 2 3" xfId="44613" xr:uid="{00000000-0005-0000-0000-0000D4AE0000}"/>
    <cellStyle name="PSChar 4 2 3 2" xfId="44614" xr:uid="{00000000-0005-0000-0000-0000D5AE0000}"/>
    <cellStyle name="PSChar 4 2 3 2 2" xfId="44615" xr:uid="{00000000-0005-0000-0000-0000D6AE0000}"/>
    <cellStyle name="PSChar 4 2 3 3" xfId="44616" xr:uid="{00000000-0005-0000-0000-0000D7AE0000}"/>
    <cellStyle name="PSChar 4 2 4" xfId="44617" xr:uid="{00000000-0005-0000-0000-0000D8AE0000}"/>
    <cellStyle name="PSChar 4 2 4 2" xfId="44618" xr:uid="{00000000-0005-0000-0000-0000D9AE0000}"/>
    <cellStyle name="PSChar 4 2 4 2 2" xfId="44619" xr:uid="{00000000-0005-0000-0000-0000DAAE0000}"/>
    <cellStyle name="PSChar 4 2 4 3" xfId="44620" xr:uid="{00000000-0005-0000-0000-0000DBAE0000}"/>
    <cellStyle name="PSChar 4 2 5" xfId="44621" xr:uid="{00000000-0005-0000-0000-0000DCAE0000}"/>
    <cellStyle name="PSChar 4 3" xfId="44622" xr:uid="{00000000-0005-0000-0000-0000DDAE0000}"/>
    <cellStyle name="PSChar 4 3 2" xfId="44623" xr:uid="{00000000-0005-0000-0000-0000DEAE0000}"/>
    <cellStyle name="PSChar 4 3 2 2" xfId="44624" xr:uid="{00000000-0005-0000-0000-0000DFAE0000}"/>
    <cellStyle name="PSChar 4 3 3" xfId="44625" xr:uid="{00000000-0005-0000-0000-0000E0AE0000}"/>
    <cellStyle name="PSChar 4 4" xfId="44626" xr:uid="{00000000-0005-0000-0000-0000E1AE0000}"/>
    <cellStyle name="PSChar 4 4 2" xfId="44627" xr:uid="{00000000-0005-0000-0000-0000E2AE0000}"/>
    <cellStyle name="PSChar 4 4 2 2" xfId="44628" xr:uid="{00000000-0005-0000-0000-0000E3AE0000}"/>
    <cellStyle name="PSChar 4 4 3" xfId="44629" xr:uid="{00000000-0005-0000-0000-0000E4AE0000}"/>
    <cellStyle name="PSChar 4 5" xfId="44630" xr:uid="{00000000-0005-0000-0000-0000E5AE0000}"/>
    <cellStyle name="PSChar 4 5 2" xfId="44631" xr:uid="{00000000-0005-0000-0000-0000E6AE0000}"/>
    <cellStyle name="PSChar 4 5 2 2" xfId="44632" xr:uid="{00000000-0005-0000-0000-0000E7AE0000}"/>
    <cellStyle name="PSChar 4 5 3" xfId="44633" xr:uid="{00000000-0005-0000-0000-0000E8AE0000}"/>
    <cellStyle name="PSChar 4 6" xfId="44634" xr:uid="{00000000-0005-0000-0000-0000E9AE0000}"/>
    <cellStyle name="PSChar 5" xfId="44635" xr:uid="{00000000-0005-0000-0000-0000EAAE0000}"/>
    <cellStyle name="PSChar 5 2" xfId="44636" xr:uid="{00000000-0005-0000-0000-0000EBAE0000}"/>
    <cellStyle name="PSChar 5 2 2" xfId="44637" xr:uid="{00000000-0005-0000-0000-0000ECAE0000}"/>
    <cellStyle name="PSChar 5 3" xfId="44638" xr:uid="{00000000-0005-0000-0000-0000EDAE0000}"/>
    <cellStyle name="PSChar 5 3 2" xfId="44639" xr:uid="{00000000-0005-0000-0000-0000EEAE0000}"/>
    <cellStyle name="PSChar 5 3 2 2" xfId="44640" xr:uid="{00000000-0005-0000-0000-0000EFAE0000}"/>
    <cellStyle name="PSChar 5 3 3" xfId="44641" xr:uid="{00000000-0005-0000-0000-0000F0AE0000}"/>
    <cellStyle name="PSChar 5 4" xfId="44642" xr:uid="{00000000-0005-0000-0000-0000F1AE0000}"/>
    <cellStyle name="PSChar 5 4 2" xfId="44643" xr:uid="{00000000-0005-0000-0000-0000F2AE0000}"/>
    <cellStyle name="PSChar 5 4 2 2" xfId="44644" xr:uid="{00000000-0005-0000-0000-0000F3AE0000}"/>
    <cellStyle name="PSChar 5 4 3" xfId="44645" xr:uid="{00000000-0005-0000-0000-0000F4AE0000}"/>
    <cellStyle name="PSChar 5 5" xfId="44646" xr:uid="{00000000-0005-0000-0000-0000F5AE0000}"/>
    <cellStyle name="PSChar 6" xfId="44647" xr:uid="{00000000-0005-0000-0000-0000F6AE0000}"/>
    <cellStyle name="PSChar 6 2" xfId="44648" xr:uid="{00000000-0005-0000-0000-0000F7AE0000}"/>
    <cellStyle name="PSChar 6 2 2" xfId="44649" xr:uid="{00000000-0005-0000-0000-0000F8AE0000}"/>
    <cellStyle name="PSChar 6 3" xfId="44650" xr:uid="{00000000-0005-0000-0000-0000F9AE0000}"/>
    <cellStyle name="PSChar 7" xfId="44651" xr:uid="{00000000-0005-0000-0000-0000FAAE0000}"/>
    <cellStyle name="PSChar 7 2" xfId="44652" xr:uid="{00000000-0005-0000-0000-0000FBAE0000}"/>
    <cellStyle name="PSChar 7 2 2" xfId="44653" xr:uid="{00000000-0005-0000-0000-0000FCAE0000}"/>
    <cellStyle name="PSChar 7 3" xfId="44654" xr:uid="{00000000-0005-0000-0000-0000FDAE0000}"/>
    <cellStyle name="PSChar 8" xfId="44655" xr:uid="{00000000-0005-0000-0000-0000FEAE0000}"/>
    <cellStyle name="PSChar 8 2" xfId="44656" xr:uid="{00000000-0005-0000-0000-0000FFAE0000}"/>
    <cellStyle name="PSChar 8 2 2" xfId="44657" xr:uid="{00000000-0005-0000-0000-000000AF0000}"/>
    <cellStyle name="PSChar 8 3" xfId="44658" xr:uid="{00000000-0005-0000-0000-000001AF0000}"/>
    <cellStyle name="PSChar 9" xfId="44659" xr:uid="{00000000-0005-0000-0000-000002AF0000}"/>
    <cellStyle name="PSChar 9 2" xfId="44660" xr:uid="{00000000-0005-0000-0000-000003AF0000}"/>
    <cellStyle name="PSDate" xfId="44661" xr:uid="{00000000-0005-0000-0000-000004AF0000}"/>
    <cellStyle name="PSDate 2" xfId="44662" xr:uid="{00000000-0005-0000-0000-000005AF0000}"/>
    <cellStyle name="PSDate 2 2" xfId="44663" xr:uid="{00000000-0005-0000-0000-000006AF0000}"/>
    <cellStyle name="PSDate 2 3" xfId="44664" xr:uid="{00000000-0005-0000-0000-000007AF0000}"/>
    <cellStyle name="PSDate 2 3 2" xfId="44665" xr:uid="{00000000-0005-0000-0000-000008AF0000}"/>
    <cellStyle name="PSDate 2 3 2 2" xfId="44666" xr:uid="{00000000-0005-0000-0000-000009AF0000}"/>
    <cellStyle name="PSDate 2 3 3" xfId="44667" xr:uid="{00000000-0005-0000-0000-00000AAF0000}"/>
    <cellStyle name="PSDate 2 4" xfId="44668" xr:uid="{00000000-0005-0000-0000-00000BAF0000}"/>
    <cellStyle name="PSDate 2 4 2" xfId="44669" xr:uid="{00000000-0005-0000-0000-00000CAF0000}"/>
    <cellStyle name="PSDate 2 4 2 2" xfId="44670" xr:uid="{00000000-0005-0000-0000-00000DAF0000}"/>
    <cellStyle name="PSDate 2 4 3" xfId="44671" xr:uid="{00000000-0005-0000-0000-00000EAF0000}"/>
    <cellStyle name="PSDate 3" xfId="44672" xr:uid="{00000000-0005-0000-0000-00000FAF0000}"/>
    <cellStyle name="PSDate 4" xfId="44673" xr:uid="{00000000-0005-0000-0000-000010AF0000}"/>
    <cellStyle name="PSDate 4 2" xfId="44674" xr:uid="{00000000-0005-0000-0000-000011AF0000}"/>
    <cellStyle name="PSDate 4 2 2" xfId="44675" xr:uid="{00000000-0005-0000-0000-000012AF0000}"/>
    <cellStyle name="PSDate 4 3" xfId="44676" xr:uid="{00000000-0005-0000-0000-000013AF0000}"/>
    <cellStyle name="PSDate 5" xfId="44677" xr:uid="{00000000-0005-0000-0000-000014AF0000}"/>
    <cellStyle name="PSDate 5 2" xfId="44678" xr:uid="{00000000-0005-0000-0000-000015AF0000}"/>
    <cellStyle name="PSDate 5 2 2" xfId="44679" xr:uid="{00000000-0005-0000-0000-000016AF0000}"/>
    <cellStyle name="PSDate 5 3" xfId="44680" xr:uid="{00000000-0005-0000-0000-000017AF0000}"/>
    <cellStyle name="PSDec" xfId="44681" xr:uid="{00000000-0005-0000-0000-000018AF0000}"/>
    <cellStyle name="PSDec 2" xfId="44682" xr:uid="{00000000-0005-0000-0000-000019AF0000}"/>
    <cellStyle name="PSDec 2 2" xfId="44683" xr:uid="{00000000-0005-0000-0000-00001AAF0000}"/>
    <cellStyle name="PSDec 2 3" xfId="44684" xr:uid="{00000000-0005-0000-0000-00001BAF0000}"/>
    <cellStyle name="PSDec 2 3 2" xfId="44685" xr:uid="{00000000-0005-0000-0000-00001CAF0000}"/>
    <cellStyle name="PSDec 2 3 2 2" xfId="44686" xr:uid="{00000000-0005-0000-0000-00001DAF0000}"/>
    <cellStyle name="PSDec 2 3 3" xfId="44687" xr:uid="{00000000-0005-0000-0000-00001EAF0000}"/>
    <cellStyle name="PSDec 2 4" xfId="44688" xr:uid="{00000000-0005-0000-0000-00001FAF0000}"/>
    <cellStyle name="PSDec 2 4 2" xfId="44689" xr:uid="{00000000-0005-0000-0000-000020AF0000}"/>
    <cellStyle name="PSDec 2 4 2 2" xfId="44690" xr:uid="{00000000-0005-0000-0000-000021AF0000}"/>
    <cellStyle name="PSDec 2 4 3" xfId="44691" xr:uid="{00000000-0005-0000-0000-000022AF0000}"/>
    <cellStyle name="PSDec 3" xfId="44692" xr:uid="{00000000-0005-0000-0000-000023AF0000}"/>
    <cellStyle name="PSDec 4" xfId="44693" xr:uid="{00000000-0005-0000-0000-000024AF0000}"/>
    <cellStyle name="PSDec 4 2" xfId="44694" xr:uid="{00000000-0005-0000-0000-000025AF0000}"/>
    <cellStyle name="PSDec 4 2 2" xfId="44695" xr:uid="{00000000-0005-0000-0000-000026AF0000}"/>
    <cellStyle name="PSDec 4 3" xfId="44696" xr:uid="{00000000-0005-0000-0000-000027AF0000}"/>
    <cellStyle name="PSDec 5" xfId="44697" xr:uid="{00000000-0005-0000-0000-000028AF0000}"/>
    <cellStyle name="PSDec 5 2" xfId="44698" xr:uid="{00000000-0005-0000-0000-000029AF0000}"/>
    <cellStyle name="PSDec 5 2 2" xfId="44699" xr:uid="{00000000-0005-0000-0000-00002AAF0000}"/>
    <cellStyle name="PSDec 5 3" xfId="44700" xr:uid="{00000000-0005-0000-0000-00002BAF0000}"/>
    <cellStyle name="PSInt" xfId="44701" xr:uid="{00000000-0005-0000-0000-00002CAF0000}"/>
    <cellStyle name="PSInt 2" xfId="44702" xr:uid="{00000000-0005-0000-0000-00002DAF0000}"/>
    <cellStyle name="PSInt 2 2" xfId="44703" xr:uid="{00000000-0005-0000-0000-00002EAF0000}"/>
    <cellStyle name="PSInt 2 3" xfId="44704" xr:uid="{00000000-0005-0000-0000-00002FAF0000}"/>
    <cellStyle name="PSInt 2 3 2" xfId="44705" xr:uid="{00000000-0005-0000-0000-000030AF0000}"/>
    <cellStyle name="PSInt 2 3 2 2" xfId="44706" xr:uid="{00000000-0005-0000-0000-000031AF0000}"/>
    <cellStyle name="PSInt 2 3 3" xfId="44707" xr:uid="{00000000-0005-0000-0000-000032AF0000}"/>
    <cellStyle name="PSInt 2 4" xfId="44708" xr:uid="{00000000-0005-0000-0000-000033AF0000}"/>
    <cellStyle name="PSInt 2 4 2" xfId="44709" xr:uid="{00000000-0005-0000-0000-000034AF0000}"/>
    <cellStyle name="PSInt 2 4 2 2" xfId="44710" xr:uid="{00000000-0005-0000-0000-000035AF0000}"/>
    <cellStyle name="PSInt 2 4 3" xfId="44711" xr:uid="{00000000-0005-0000-0000-000036AF0000}"/>
    <cellStyle name="PSInt 3" xfId="44712" xr:uid="{00000000-0005-0000-0000-000037AF0000}"/>
    <cellStyle name="PSInt 4" xfId="44713" xr:uid="{00000000-0005-0000-0000-000038AF0000}"/>
    <cellStyle name="PSInt 4 2" xfId="44714" xr:uid="{00000000-0005-0000-0000-000039AF0000}"/>
    <cellStyle name="PSInt 4 2 2" xfId="44715" xr:uid="{00000000-0005-0000-0000-00003AAF0000}"/>
    <cellStyle name="PSInt 4 3" xfId="44716" xr:uid="{00000000-0005-0000-0000-00003BAF0000}"/>
    <cellStyle name="PSInt 5" xfId="44717" xr:uid="{00000000-0005-0000-0000-00003CAF0000}"/>
    <cellStyle name="PSInt 5 2" xfId="44718" xr:uid="{00000000-0005-0000-0000-00003DAF0000}"/>
    <cellStyle name="PSInt 5 2 2" xfId="44719" xr:uid="{00000000-0005-0000-0000-00003EAF0000}"/>
    <cellStyle name="PSInt 5 3" xfId="44720" xr:uid="{00000000-0005-0000-0000-00003FAF0000}"/>
    <cellStyle name="regstoresfromspecstores" xfId="44721" xr:uid="{00000000-0005-0000-0000-000040AF0000}"/>
    <cellStyle name="regstoresfromspecstores 10" xfId="44722" xr:uid="{00000000-0005-0000-0000-000041AF0000}"/>
    <cellStyle name="regstoresfromspecstores 2" xfId="44723" xr:uid="{00000000-0005-0000-0000-000042AF0000}"/>
    <cellStyle name="regstoresfromspecstores 2 2" xfId="44724" xr:uid="{00000000-0005-0000-0000-000043AF0000}"/>
    <cellStyle name="regstoresfromspecstores 2 2 2" xfId="44725" xr:uid="{00000000-0005-0000-0000-000044AF0000}"/>
    <cellStyle name="regstoresfromspecstores 2 2 2 2" xfId="44726" xr:uid="{00000000-0005-0000-0000-000045AF0000}"/>
    <cellStyle name="regstoresfromspecstores 2 2 3" xfId="44727" xr:uid="{00000000-0005-0000-0000-000046AF0000}"/>
    <cellStyle name="regstoresfromspecstores 2 2 3 2" xfId="44728" xr:uid="{00000000-0005-0000-0000-000047AF0000}"/>
    <cellStyle name="regstoresfromspecstores 2 2 3 2 2" xfId="44729" xr:uid="{00000000-0005-0000-0000-000048AF0000}"/>
    <cellStyle name="regstoresfromspecstores 2 2 3 3" xfId="44730" xr:uid="{00000000-0005-0000-0000-000049AF0000}"/>
    <cellStyle name="regstoresfromspecstores 2 2 4" xfId="44731" xr:uid="{00000000-0005-0000-0000-00004AAF0000}"/>
    <cellStyle name="regstoresfromspecstores 2 2 4 2" xfId="44732" xr:uid="{00000000-0005-0000-0000-00004BAF0000}"/>
    <cellStyle name="regstoresfromspecstores 2 2 4 2 2" xfId="44733" xr:uid="{00000000-0005-0000-0000-00004CAF0000}"/>
    <cellStyle name="regstoresfromspecstores 2 2 4 3" xfId="44734" xr:uid="{00000000-0005-0000-0000-00004DAF0000}"/>
    <cellStyle name="regstoresfromspecstores 2 2 5" xfId="44735" xr:uid="{00000000-0005-0000-0000-00004EAF0000}"/>
    <cellStyle name="regstoresfromspecstores 2 3" xfId="44736" xr:uid="{00000000-0005-0000-0000-00004FAF0000}"/>
    <cellStyle name="regstoresfromspecstores 2 3 2" xfId="44737" xr:uid="{00000000-0005-0000-0000-000050AF0000}"/>
    <cellStyle name="regstoresfromspecstores 2 3 2 2" xfId="44738" xr:uid="{00000000-0005-0000-0000-000051AF0000}"/>
    <cellStyle name="regstoresfromspecstores 2 3 2 2 2" xfId="44739" xr:uid="{00000000-0005-0000-0000-000052AF0000}"/>
    <cellStyle name="regstoresfromspecstores 2 3 2 3" xfId="44740" xr:uid="{00000000-0005-0000-0000-000053AF0000}"/>
    <cellStyle name="regstoresfromspecstores 2 3 2 3 2" xfId="44741" xr:uid="{00000000-0005-0000-0000-000054AF0000}"/>
    <cellStyle name="regstoresfromspecstores 2 3 2 3 2 2" xfId="44742" xr:uid="{00000000-0005-0000-0000-000055AF0000}"/>
    <cellStyle name="regstoresfromspecstores 2 3 2 3 3" xfId="44743" xr:uid="{00000000-0005-0000-0000-000056AF0000}"/>
    <cellStyle name="regstoresfromspecstores 2 3 2 4" xfId="44744" xr:uid="{00000000-0005-0000-0000-000057AF0000}"/>
    <cellStyle name="regstoresfromspecstores 2 3 3" xfId="44745" xr:uid="{00000000-0005-0000-0000-000058AF0000}"/>
    <cellStyle name="regstoresfromspecstores 2 3 3 2" xfId="44746" xr:uid="{00000000-0005-0000-0000-000059AF0000}"/>
    <cellStyle name="regstoresfromspecstores 2 3 3 2 2" xfId="44747" xr:uid="{00000000-0005-0000-0000-00005AAF0000}"/>
    <cellStyle name="regstoresfromspecstores 2 3 3 3" xfId="44748" xr:uid="{00000000-0005-0000-0000-00005BAF0000}"/>
    <cellStyle name="regstoresfromspecstores 2 3 4" xfId="44749" xr:uid="{00000000-0005-0000-0000-00005CAF0000}"/>
    <cellStyle name="regstoresfromspecstores 2 3 4 2" xfId="44750" xr:uid="{00000000-0005-0000-0000-00005DAF0000}"/>
    <cellStyle name="regstoresfromspecstores 2 3 4 2 2" xfId="44751" xr:uid="{00000000-0005-0000-0000-00005EAF0000}"/>
    <cellStyle name="regstoresfromspecstores 2 3 4 3" xfId="44752" xr:uid="{00000000-0005-0000-0000-00005FAF0000}"/>
    <cellStyle name="regstoresfromspecstores 2 3 5" xfId="44753" xr:uid="{00000000-0005-0000-0000-000060AF0000}"/>
    <cellStyle name="regstoresfromspecstores 2 3 5 2" xfId="44754" xr:uid="{00000000-0005-0000-0000-000061AF0000}"/>
    <cellStyle name="regstoresfromspecstores 2 3 5 2 2" xfId="44755" xr:uid="{00000000-0005-0000-0000-000062AF0000}"/>
    <cellStyle name="regstoresfromspecstores 2 3 5 3" xfId="44756" xr:uid="{00000000-0005-0000-0000-000063AF0000}"/>
    <cellStyle name="regstoresfromspecstores 2 3 6" xfId="44757" xr:uid="{00000000-0005-0000-0000-000064AF0000}"/>
    <cellStyle name="regstoresfromspecstores 2 4" xfId="44758" xr:uid="{00000000-0005-0000-0000-000065AF0000}"/>
    <cellStyle name="regstoresfromspecstores 2 4 2" xfId="44759" xr:uid="{00000000-0005-0000-0000-000066AF0000}"/>
    <cellStyle name="regstoresfromspecstores 2 4 2 2" xfId="44760" xr:uid="{00000000-0005-0000-0000-000067AF0000}"/>
    <cellStyle name="regstoresfromspecstores 2 4 3" xfId="44761" xr:uid="{00000000-0005-0000-0000-000068AF0000}"/>
    <cellStyle name="regstoresfromspecstores 2 5" xfId="44762" xr:uid="{00000000-0005-0000-0000-000069AF0000}"/>
    <cellStyle name="regstoresfromspecstores 2 5 2" xfId="44763" xr:uid="{00000000-0005-0000-0000-00006AAF0000}"/>
    <cellStyle name="regstoresfromspecstores 2 5 2 2" xfId="44764" xr:uid="{00000000-0005-0000-0000-00006BAF0000}"/>
    <cellStyle name="regstoresfromspecstores 2 5 3" xfId="44765" xr:uid="{00000000-0005-0000-0000-00006CAF0000}"/>
    <cellStyle name="regstoresfromspecstores 2 6" xfId="44766" xr:uid="{00000000-0005-0000-0000-00006DAF0000}"/>
    <cellStyle name="regstoresfromspecstores 2 6 2" xfId="44767" xr:uid="{00000000-0005-0000-0000-00006EAF0000}"/>
    <cellStyle name="regstoresfromspecstores 2 6 2 2" xfId="44768" xr:uid="{00000000-0005-0000-0000-00006FAF0000}"/>
    <cellStyle name="regstoresfromspecstores 2 6 3" xfId="44769" xr:uid="{00000000-0005-0000-0000-000070AF0000}"/>
    <cellStyle name="regstoresfromspecstores 2 7" xfId="44770" xr:uid="{00000000-0005-0000-0000-000071AF0000}"/>
    <cellStyle name="regstoresfromspecstores 3" xfId="44771" xr:uid="{00000000-0005-0000-0000-000072AF0000}"/>
    <cellStyle name="regstoresfromspecstores 3 2" xfId="44772" xr:uid="{00000000-0005-0000-0000-000073AF0000}"/>
    <cellStyle name="regstoresfromspecstores 3 2 2" xfId="44773" xr:uid="{00000000-0005-0000-0000-000074AF0000}"/>
    <cellStyle name="regstoresfromspecstores 3 2 2 2" xfId="44774" xr:uid="{00000000-0005-0000-0000-000075AF0000}"/>
    <cellStyle name="regstoresfromspecstores 3 2 3" xfId="44775" xr:uid="{00000000-0005-0000-0000-000076AF0000}"/>
    <cellStyle name="regstoresfromspecstores 3 2 3 2" xfId="44776" xr:uid="{00000000-0005-0000-0000-000077AF0000}"/>
    <cellStyle name="regstoresfromspecstores 3 2 3 2 2" xfId="44777" xr:uid="{00000000-0005-0000-0000-000078AF0000}"/>
    <cellStyle name="regstoresfromspecstores 3 2 3 3" xfId="44778" xr:uid="{00000000-0005-0000-0000-000079AF0000}"/>
    <cellStyle name="regstoresfromspecstores 3 2 4" xfId="44779" xr:uid="{00000000-0005-0000-0000-00007AAF0000}"/>
    <cellStyle name="regstoresfromspecstores 3 2 4 2" xfId="44780" xr:uid="{00000000-0005-0000-0000-00007BAF0000}"/>
    <cellStyle name="regstoresfromspecstores 3 2 4 2 2" xfId="44781" xr:uid="{00000000-0005-0000-0000-00007CAF0000}"/>
    <cellStyle name="regstoresfromspecstores 3 2 4 3" xfId="44782" xr:uid="{00000000-0005-0000-0000-00007DAF0000}"/>
    <cellStyle name="regstoresfromspecstores 3 2 5" xfId="44783" xr:uid="{00000000-0005-0000-0000-00007EAF0000}"/>
    <cellStyle name="regstoresfromspecstores 3 3" xfId="44784" xr:uid="{00000000-0005-0000-0000-00007FAF0000}"/>
    <cellStyle name="regstoresfromspecstores 3 3 2" xfId="44785" xr:uid="{00000000-0005-0000-0000-000080AF0000}"/>
    <cellStyle name="regstoresfromspecstores 3 3 2 2" xfId="44786" xr:uid="{00000000-0005-0000-0000-000081AF0000}"/>
    <cellStyle name="regstoresfromspecstores 3 3 3" xfId="44787" xr:uid="{00000000-0005-0000-0000-000082AF0000}"/>
    <cellStyle name="regstoresfromspecstores 3 4" xfId="44788" xr:uid="{00000000-0005-0000-0000-000083AF0000}"/>
    <cellStyle name="regstoresfromspecstores 3 4 2" xfId="44789" xr:uid="{00000000-0005-0000-0000-000084AF0000}"/>
    <cellStyle name="regstoresfromspecstores 3 4 2 2" xfId="44790" xr:uid="{00000000-0005-0000-0000-000085AF0000}"/>
    <cellStyle name="regstoresfromspecstores 3 4 3" xfId="44791" xr:uid="{00000000-0005-0000-0000-000086AF0000}"/>
    <cellStyle name="regstoresfromspecstores 3 5" xfId="44792" xr:uid="{00000000-0005-0000-0000-000087AF0000}"/>
    <cellStyle name="regstoresfromspecstores 3 5 2" xfId="44793" xr:uid="{00000000-0005-0000-0000-000088AF0000}"/>
    <cellStyle name="regstoresfromspecstores 3 5 2 2" xfId="44794" xr:uid="{00000000-0005-0000-0000-000089AF0000}"/>
    <cellStyle name="regstoresfromspecstores 3 5 3" xfId="44795" xr:uid="{00000000-0005-0000-0000-00008AAF0000}"/>
    <cellStyle name="regstoresfromspecstores 3 6" xfId="44796" xr:uid="{00000000-0005-0000-0000-00008BAF0000}"/>
    <cellStyle name="regstoresfromspecstores 4" xfId="44797" xr:uid="{00000000-0005-0000-0000-00008CAF0000}"/>
    <cellStyle name="regstoresfromspecstores 4 2" xfId="44798" xr:uid="{00000000-0005-0000-0000-00008DAF0000}"/>
    <cellStyle name="regstoresfromspecstores 4 2 2" xfId="44799" xr:uid="{00000000-0005-0000-0000-00008EAF0000}"/>
    <cellStyle name="regstoresfromspecstores 4 2 2 2" xfId="44800" xr:uid="{00000000-0005-0000-0000-00008FAF0000}"/>
    <cellStyle name="regstoresfromspecstores 4 2 3" xfId="44801" xr:uid="{00000000-0005-0000-0000-000090AF0000}"/>
    <cellStyle name="regstoresfromspecstores 4 2 3 2" xfId="44802" xr:uid="{00000000-0005-0000-0000-000091AF0000}"/>
    <cellStyle name="regstoresfromspecstores 4 2 3 2 2" xfId="44803" xr:uid="{00000000-0005-0000-0000-000092AF0000}"/>
    <cellStyle name="regstoresfromspecstores 4 2 3 3" xfId="44804" xr:uid="{00000000-0005-0000-0000-000093AF0000}"/>
    <cellStyle name="regstoresfromspecstores 4 2 4" xfId="44805" xr:uid="{00000000-0005-0000-0000-000094AF0000}"/>
    <cellStyle name="regstoresfromspecstores 4 2 4 2" xfId="44806" xr:uid="{00000000-0005-0000-0000-000095AF0000}"/>
    <cellStyle name="regstoresfromspecstores 4 2 4 2 2" xfId="44807" xr:uid="{00000000-0005-0000-0000-000096AF0000}"/>
    <cellStyle name="regstoresfromspecstores 4 2 4 3" xfId="44808" xr:uid="{00000000-0005-0000-0000-000097AF0000}"/>
    <cellStyle name="regstoresfromspecstores 4 2 5" xfId="44809" xr:uid="{00000000-0005-0000-0000-000098AF0000}"/>
    <cellStyle name="regstoresfromspecstores 4 3" xfId="44810" xr:uid="{00000000-0005-0000-0000-000099AF0000}"/>
    <cellStyle name="regstoresfromspecstores 4 3 2" xfId="44811" xr:uid="{00000000-0005-0000-0000-00009AAF0000}"/>
    <cellStyle name="regstoresfromspecstores 4 3 2 2" xfId="44812" xr:uid="{00000000-0005-0000-0000-00009BAF0000}"/>
    <cellStyle name="regstoresfromspecstores 4 3 3" xfId="44813" xr:uid="{00000000-0005-0000-0000-00009CAF0000}"/>
    <cellStyle name="regstoresfromspecstores 4 4" xfId="44814" xr:uid="{00000000-0005-0000-0000-00009DAF0000}"/>
    <cellStyle name="regstoresfromspecstores 4 4 2" xfId="44815" xr:uid="{00000000-0005-0000-0000-00009EAF0000}"/>
    <cellStyle name="regstoresfromspecstores 4 4 2 2" xfId="44816" xr:uid="{00000000-0005-0000-0000-00009FAF0000}"/>
    <cellStyle name="regstoresfromspecstores 4 4 3" xfId="44817" xr:uid="{00000000-0005-0000-0000-0000A0AF0000}"/>
    <cellStyle name="regstoresfromspecstores 4 5" xfId="44818" xr:uid="{00000000-0005-0000-0000-0000A1AF0000}"/>
    <cellStyle name="regstoresfromspecstores 4 5 2" xfId="44819" xr:uid="{00000000-0005-0000-0000-0000A2AF0000}"/>
    <cellStyle name="regstoresfromspecstores 4 5 2 2" xfId="44820" xr:uid="{00000000-0005-0000-0000-0000A3AF0000}"/>
    <cellStyle name="regstoresfromspecstores 4 5 3" xfId="44821" xr:uid="{00000000-0005-0000-0000-0000A4AF0000}"/>
    <cellStyle name="regstoresfromspecstores 4 6" xfId="44822" xr:uid="{00000000-0005-0000-0000-0000A5AF0000}"/>
    <cellStyle name="regstoresfromspecstores 5" xfId="44823" xr:uid="{00000000-0005-0000-0000-0000A6AF0000}"/>
    <cellStyle name="regstoresfromspecstores 5 2" xfId="44824" xr:uid="{00000000-0005-0000-0000-0000A7AF0000}"/>
    <cellStyle name="regstoresfromspecstores 5 2 2" xfId="44825" xr:uid="{00000000-0005-0000-0000-0000A8AF0000}"/>
    <cellStyle name="regstoresfromspecstores 5 3" xfId="44826" xr:uid="{00000000-0005-0000-0000-0000A9AF0000}"/>
    <cellStyle name="regstoresfromspecstores 5 3 2" xfId="44827" xr:uid="{00000000-0005-0000-0000-0000AAAF0000}"/>
    <cellStyle name="regstoresfromspecstores 5 3 2 2" xfId="44828" xr:uid="{00000000-0005-0000-0000-0000ABAF0000}"/>
    <cellStyle name="regstoresfromspecstores 5 3 3" xfId="44829" xr:uid="{00000000-0005-0000-0000-0000ACAF0000}"/>
    <cellStyle name="regstoresfromspecstores 5 4" xfId="44830" xr:uid="{00000000-0005-0000-0000-0000ADAF0000}"/>
    <cellStyle name="regstoresfromspecstores 5 4 2" xfId="44831" xr:uid="{00000000-0005-0000-0000-0000AEAF0000}"/>
    <cellStyle name="regstoresfromspecstores 5 4 2 2" xfId="44832" xr:uid="{00000000-0005-0000-0000-0000AFAF0000}"/>
    <cellStyle name="regstoresfromspecstores 5 4 3" xfId="44833" xr:uid="{00000000-0005-0000-0000-0000B0AF0000}"/>
    <cellStyle name="regstoresfromspecstores 5 5" xfId="44834" xr:uid="{00000000-0005-0000-0000-0000B1AF0000}"/>
    <cellStyle name="regstoresfromspecstores 6" xfId="44835" xr:uid="{00000000-0005-0000-0000-0000B2AF0000}"/>
    <cellStyle name="regstoresfromspecstores 6 2" xfId="44836" xr:uid="{00000000-0005-0000-0000-0000B3AF0000}"/>
    <cellStyle name="regstoresfromspecstores 6 2 2" xfId="44837" xr:uid="{00000000-0005-0000-0000-0000B4AF0000}"/>
    <cellStyle name="regstoresfromspecstores 6 3" xfId="44838" xr:uid="{00000000-0005-0000-0000-0000B5AF0000}"/>
    <cellStyle name="regstoresfromspecstores 7" xfId="44839" xr:uid="{00000000-0005-0000-0000-0000B6AF0000}"/>
    <cellStyle name="regstoresfromspecstores 7 2" xfId="44840" xr:uid="{00000000-0005-0000-0000-0000B7AF0000}"/>
    <cellStyle name="regstoresfromspecstores 7 2 2" xfId="44841" xr:uid="{00000000-0005-0000-0000-0000B8AF0000}"/>
    <cellStyle name="regstoresfromspecstores 7 3" xfId="44842" xr:uid="{00000000-0005-0000-0000-0000B9AF0000}"/>
    <cellStyle name="regstoresfromspecstores 8" xfId="44843" xr:uid="{00000000-0005-0000-0000-0000BAAF0000}"/>
    <cellStyle name="regstoresfromspecstores 8 2" xfId="44844" xr:uid="{00000000-0005-0000-0000-0000BBAF0000}"/>
    <cellStyle name="regstoresfromspecstores 8 2 2" xfId="44845" xr:uid="{00000000-0005-0000-0000-0000BCAF0000}"/>
    <cellStyle name="regstoresfromspecstores 8 3" xfId="44846" xr:uid="{00000000-0005-0000-0000-0000BDAF0000}"/>
    <cellStyle name="regstoresfromspecstores 9" xfId="44847" xr:uid="{00000000-0005-0000-0000-0000BEAF0000}"/>
    <cellStyle name="regstoresfromspecstores 9 2" xfId="44848" xr:uid="{00000000-0005-0000-0000-0000BFAF0000}"/>
    <cellStyle name="RevList" xfId="44849" xr:uid="{00000000-0005-0000-0000-0000C0AF0000}"/>
    <cellStyle name="RevList 2" xfId="44850" xr:uid="{00000000-0005-0000-0000-0000C1AF0000}"/>
    <cellStyle name="RevList 3" xfId="44851" xr:uid="{00000000-0005-0000-0000-0000C2AF0000}"/>
    <cellStyle name="RevList 3 2" xfId="44852" xr:uid="{00000000-0005-0000-0000-0000C3AF0000}"/>
    <cellStyle name="RevList 3 2 2" xfId="44853" xr:uid="{00000000-0005-0000-0000-0000C4AF0000}"/>
    <cellStyle name="RevList 3 3" xfId="44854" xr:uid="{00000000-0005-0000-0000-0000C5AF0000}"/>
    <cellStyle name="RevList 4" xfId="44855" xr:uid="{00000000-0005-0000-0000-0000C6AF0000}"/>
    <cellStyle name="RevList 4 2" xfId="44856" xr:uid="{00000000-0005-0000-0000-0000C7AF0000}"/>
    <cellStyle name="RevList 4 2 2" xfId="44857" xr:uid="{00000000-0005-0000-0000-0000C8AF0000}"/>
    <cellStyle name="RevList 4 3" xfId="44858" xr:uid="{00000000-0005-0000-0000-0000C9AF0000}"/>
    <cellStyle name="SAPBEXaggData" xfId="40" xr:uid="{00000000-0005-0000-0000-0000CAAF0000}"/>
    <cellStyle name="SAPBEXaggData 10" xfId="44859" xr:uid="{00000000-0005-0000-0000-0000CBAF0000}"/>
    <cellStyle name="SAPBEXaggData 10 2" xfId="44860" xr:uid="{00000000-0005-0000-0000-0000CCAF0000}"/>
    <cellStyle name="SAPBEXaggData 11" xfId="44861" xr:uid="{00000000-0005-0000-0000-0000CDAF0000}"/>
    <cellStyle name="SAPBEXaggData 11 2" xfId="44862" xr:uid="{00000000-0005-0000-0000-0000CEAF0000}"/>
    <cellStyle name="SAPBEXaggData 12" xfId="44863" xr:uid="{00000000-0005-0000-0000-0000CFAF0000}"/>
    <cellStyle name="SAPBEXaggData 12 2" xfId="44864" xr:uid="{00000000-0005-0000-0000-0000D0AF0000}"/>
    <cellStyle name="SAPBEXaggData 13" xfId="44865" xr:uid="{00000000-0005-0000-0000-0000D1AF0000}"/>
    <cellStyle name="SAPBEXaggData 14" xfId="44866" xr:uid="{00000000-0005-0000-0000-0000D2AF0000}"/>
    <cellStyle name="SAPBEXaggData 2" xfId="44867" xr:uid="{00000000-0005-0000-0000-0000D3AF0000}"/>
    <cellStyle name="SAPBEXaggData 2 2" xfId="44868" xr:uid="{00000000-0005-0000-0000-0000D4AF0000}"/>
    <cellStyle name="SAPBEXaggData 2 2 2" xfId="44869" xr:uid="{00000000-0005-0000-0000-0000D5AF0000}"/>
    <cellStyle name="SAPBEXaggData 2 2 2 2" xfId="44870" xr:uid="{00000000-0005-0000-0000-0000D6AF0000}"/>
    <cellStyle name="SAPBEXaggData 2 2 2 2 2" xfId="44871" xr:uid="{00000000-0005-0000-0000-0000D7AF0000}"/>
    <cellStyle name="SAPBEXaggData 2 2 2 2 2 2" xfId="44872" xr:uid="{00000000-0005-0000-0000-0000D8AF0000}"/>
    <cellStyle name="SAPBEXaggData 2 2 2 2 3" xfId="44873" xr:uid="{00000000-0005-0000-0000-0000D9AF0000}"/>
    <cellStyle name="SAPBEXaggData 2 2 2 3" xfId="44874" xr:uid="{00000000-0005-0000-0000-0000DAAF0000}"/>
    <cellStyle name="SAPBEXaggData 2 2 2 3 2" xfId="44875" xr:uid="{00000000-0005-0000-0000-0000DBAF0000}"/>
    <cellStyle name="SAPBEXaggData 2 2 2 4" xfId="44876" xr:uid="{00000000-0005-0000-0000-0000DCAF0000}"/>
    <cellStyle name="SAPBEXaggData 2 2 3" xfId="44877" xr:uid="{00000000-0005-0000-0000-0000DDAF0000}"/>
    <cellStyle name="SAPBEXaggData 2 2 3 2" xfId="44878" xr:uid="{00000000-0005-0000-0000-0000DEAF0000}"/>
    <cellStyle name="SAPBEXaggData 2 2 3 2 2" xfId="44879" xr:uid="{00000000-0005-0000-0000-0000DFAF0000}"/>
    <cellStyle name="SAPBEXaggData 2 2 3 3" xfId="44880" xr:uid="{00000000-0005-0000-0000-0000E0AF0000}"/>
    <cellStyle name="SAPBEXaggData 2 2 4" xfId="44881" xr:uid="{00000000-0005-0000-0000-0000E1AF0000}"/>
    <cellStyle name="SAPBEXaggData 2 2 4 2" xfId="44882" xr:uid="{00000000-0005-0000-0000-0000E2AF0000}"/>
    <cellStyle name="SAPBEXaggData 2 2 4 2 2" xfId="44883" xr:uid="{00000000-0005-0000-0000-0000E3AF0000}"/>
    <cellStyle name="SAPBEXaggData 2 2 4 3" xfId="44884" xr:uid="{00000000-0005-0000-0000-0000E4AF0000}"/>
    <cellStyle name="SAPBEXaggData 2 2 5" xfId="44885" xr:uid="{00000000-0005-0000-0000-0000E5AF0000}"/>
    <cellStyle name="SAPBEXaggData 2 2 5 2" xfId="44886" xr:uid="{00000000-0005-0000-0000-0000E6AF0000}"/>
    <cellStyle name="SAPBEXaggData 2 2 6" xfId="44887" xr:uid="{00000000-0005-0000-0000-0000E7AF0000}"/>
    <cellStyle name="SAPBEXaggData 2 3" xfId="44888" xr:uid="{00000000-0005-0000-0000-0000E8AF0000}"/>
    <cellStyle name="SAPBEXaggData 2 3 2" xfId="44889" xr:uid="{00000000-0005-0000-0000-0000E9AF0000}"/>
    <cellStyle name="SAPBEXaggData 2 4" xfId="44890" xr:uid="{00000000-0005-0000-0000-0000EAAF0000}"/>
    <cellStyle name="SAPBEXaggData 2 4 2" xfId="44891" xr:uid="{00000000-0005-0000-0000-0000EBAF0000}"/>
    <cellStyle name="SAPBEXaggData 2 4 2 2" xfId="44892" xr:uid="{00000000-0005-0000-0000-0000ECAF0000}"/>
    <cellStyle name="SAPBEXaggData 2 4 3" xfId="44893" xr:uid="{00000000-0005-0000-0000-0000EDAF0000}"/>
    <cellStyle name="SAPBEXaggData 2 5" xfId="44894" xr:uid="{00000000-0005-0000-0000-0000EEAF0000}"/>
    <cellStyle name="SAPBEXaggData 2 5 2" xfId="44895" xr:uid="{00000000-0005-0000-0000-0000EFAF0000}"/>
    <cellStyle name="SAPBEXaggData 2 5 2 2" xfId="44896" xr:uid="{00000000-0005-0000-0000-0000F0AF0000}"/>
    <cellStyle name="SAPBEXaggData 2 5 3" xfId="44897" xr:uid="{00000000-0005-0000-0000-0000F1AF0000}"/>
    <cellStyle name="SAPBEXaggData 2 6" xfId="44898" xr:uid="{00000000-0005-0000-0000-0000F2AF0000}"/>
    <cellStyle name="SAPBEXaggData 3" xfId="44899" xr:uid="{00000000-0005-0000-0000-0000F3AF0000}"/>
    <cellStyle name="SAPBEXaggData 3 2" xfId="44900" xr:uid="{00000000-0005-0000-0000-0000F4AF0000}"/>
    <cellStyle name="SAPBEXaggData 3 2 2" xfId="44901" xr:uid="{00000000-0005-0000-0000-0000F5AF0000}"/>
    <cellStyle name="SAPBEXaggData 3 3" xfId="44902" xr:uid="{00000000-0005-0000-0000-0000F6AF0000}"/>
    <cellStyle name="SAPBEXaggData 3 3 2" xfId="44903" xr:uid="{00000000-0005-0000-0000-0000F7AF0000}"/>
    <cellStyle name="SAPBEXaggData 3 3 2 2" xfId="44904" xr:uid="{00000000-0005-0000-0000-0000F8AF0000}"/>
    <cellStyle name="SAPBEXaggData 3 3 3" xfId="44905" xr:uid="{00000000-0005-0000-0000-0000F9AF0000}"/>
    <cellStyle name="SAPBEXaggData 3 4" xfId="44906" xr:uid="{00000000-0005-0000-0000-0000FAAF0000}"/>
    <cellStyle name="SAPBEXaggData 3 4 2" xfId="44907" xr:uid="{00000000-0005-0000-0000-0000FBAF0000}"/>
    <cellStyle name="SAPBEXaggData 3 4 2 2" xfId="44908" xr:uid="{00000000-0005-0000-0000-0000FCAF0000}"/>
    <cellStyle name="SAPBEXaggData 3 4 3" xfId="44909" xr:uid="{00000000-0005-0000-0000-0000FDAF0000}"/>
    <cellStyle name="SAPBEXaggData 3 5" xfId="44910" xr:uid="{00000000-0005-0000-0000-0000FEAF0000}"/>
    <cellStyle name="SAPBEXaggData 4" xfId="44911" xr:uid="{00000000-0005-0000-0000-0000FFAF0000}"/>
    <cellStyle name="SAPBEXaggData 4 2" xfId="44912" xr:uid="{00000000-0005-0000-0000-000000B00000}"/>
    <cellStyle name="SAPBEXaggData 4 2 2" xfId="44913" xr:uid="{00000000-0005-0000-0000-000001B00000}"/>
    <cellStyle name="SAPBEXaggData 4 2 2 2" xfId="44914" xr:uid="{00000000-0005-0000-0000-000002B00000}"/>
    <cellStyle name="SAPBEXaggData 4 2 3" xfId="44915" xr:uid="{00000000-0005-0000-0000-000003B00000}"/>
    <cellStyle name="SAPBEXaggData 4 2 3 2" xfId="44916" xr:uid="{00000000-0005-0000-0000-000004B00000}"/>
    <cellStyle name="SAPBEXaggData 4 2 3 2 2" xfId="44917" xr:uid="{00000000-0005-0000-0000-000005B00000}"/>
    <cellStyle name="SAPBEXaggData 4 2 3 3" xfId="44918" xr:uid="{00000000-0005-0000-0000-000006B00000}"/>
    <cellStyle name="SAPBEXaggData 4 2 4" xfId="44919" xr:uid="{00000000-0005-0000-0000-000007B00000}"/>
    <cellStyle name="SAPBEXaggData 4 3" xfId="44920" xr:uid="{00000000-0005-0000-0000-000008B00000}"/>
    <cellStyle name="SAPBEXaggData 4 3 2" xfId="44921" xr:uid="{00000000-0005-0000-0000-000009B00000}"/>
    <cellStyle name="SAPBEXaggData 4 3 2 2" xfId="44922" xr:uid="{00000000-0005-0000-0000-00000AB00000}"/>
    <cellStyle name="SAPBEXaggData 4 3 3" xfId="44923" xr:uid="{00000000-0005-0000-0000-00000BB00000}"/>
    <cellStyle name="SAPBEXaggData 4 4" xfId="44924" xr:uid="{00000000-0005-0000-0000-00000CB00000}"/>
    <cellStyle name="SAPBEXaggData 4 4 2" xfId="44925" xr:uid="{00000000-0005-0000-0000-00000DB00000}"/>
    <cellStyle name="SAPBEXaggData 4 4 2 2" xfId="44926" xr:uid="{00000000-0005-0000-0000-00000EB00000}"/>
    <cellStyle name="SAPBEXaggData 4 4 3" xfId="44927" xr:uid="{00000000-0005-0000-0000-00000FB00000}"/>
    <cellStyle name="SAPBEXaggData 4 5" xfId="44928" xr:uid="{00000000-0005-0000-0000-000010B00000}"/>
    <cellStyle name="SAPBEXaggData 4 5 2" xfId="44929" xr:uid="{00000000-0005-0000-0000-000011B00000}"/>
    <cellStyle name="SAPBEXaggData 4 5 2 2" xfId="44930" xr:uid="{00000000-0005-0000-0000-000012B00000}"/>
    <cellStyle name="SAPBEXaggData 4 5 3" xfId="44931" xr:uid="{00000000-0005-0000-0000-000013B00000}"/>
    <cellStyle name="SAPBEXaggData 4 6" xfId="44932" xr:uid="{00000000-0005-0000-0000-000014B00000}"/>
    <cellStyle name="SAPBEXaggData 5" xfId="44933" xr:uid="{00000000-0005-0000-0000-000015B00000}"/>
    <cellStyle name="SAPBEXaggData 5 2" xfId="44934" xr:uid="{00000000-0005-0000-0000-000016B00000}"/>
    <cellStyle name="SAPBEXaggData 5 2 2" xfId="44935" xr:uid="{00000000-0005-0000-0000-000017B00000}"/>
    <cellStyle name="SAPBEXaggData 5 3" xfId="44936" xr:uid="{00000000-0005-0000-0000-000018B00000}"/>
    <cellStyle name="SAPBEXaggData 6" xfId="44937" xr:uid="{00000000-0005-0000-0000-000019B00000}"/>
    <cellStyle name="SAPBEXaggData 6 2" xfId="44938" xr:uid="{00000000-0005-0000-0000-00001AB00000}"/>
    <cellStyle name="SAPBEXaggData 6 2 2" xfId="44939" xr:uid="{00000000-0005-0000-0000-00001BB00000}"/>
    <cellStyle name="SAPBEXaggData 6 3" xfId="44940" xr:uid="{00000000-0005-0000-0000-00001CB00000}"/>
    <cellStyle name="SAPBEXaggData 7" xfId="44941" xr:uid="{00000000-0005-0000-0000-00001DB00000}"/>
    <cellStyle name="SAPBEXaggData 7 2" xfId="44942" xr:uid="{00000000-0005-0000-0000-00001EB00000}"/>
    <cellStyle name="SAPBEXaggData 7 2 2" xfId="44943" xr:uid="{00000000-0005-0000-0000-00001FB00000}"/>
    <cellStyle name="SAPBEXaggData 7 3" xfId="44944" xr:uid="{00000000-0005-0000-0000-000020B00000}"/>
    <cellStyle name="SAPBEXaggData 8" xfId="44945" xr:uid="{00000000-0005-0000-0000-000021B00000}"/>
    <cellStyle name="SAPBEXaggData 8 2" xfId="44946" xr:uid="{00000000-0005-0000-0000-000022B00000}"/>
    <cellStyle name="SAPBEXaggData 9" xfId="44947" xr:uid="{00000000-0005-0000-0000-000023B00000}"/>
    <cellStyle name="SAPBEXaggData 9 2" xfId="44948" xr:uid="{00000000-0005-0000-0000-000024B00000}"/>
    <cellStyle name="SAPBEXaggDataEmph" xfId="41" xr:uid="{00000000-0005-0000-0000-000025B00000}"/>
    <cellStyle name="SAPBEXaggDataEmph 10" xfId="44949" xr:uid="{00000000-0005-0000-0000-000026B00000}"/>
    <cellStyle name="SAPBEXaggDataEmph 10 2" xfId="44950" xr:uid="{00000000-0005-0000-0000-000027B00000}"/>
    <cellStyle name="SAPBEXaggDataEmph 11" xfId="44951" xr:uid="{00000000-0005-0000-0000-000028B00000}"/>
    <cellStyle name="SAPBEXaggDataEmph 11 2" xfId="44952" xr:uid="{00000000-0005-0000-0000-000029B00000}"/>
    <cellStyle name="SAPBEXaggDataEmph 12" xfId="44953" xr:uid="{00000000-0005-0000-0000-00002AB00000}"/>
    <cellStyle name="SAPBEXaggDataEmph 13" xfId="44954" xr:uid="{00000000-0005-0000-0000-00002BB00000}"/>
    <cellStyle name="SAPBEXaggDataEmph 2" xfId="44955" xr:uid="{00000000-0005-0000-0000-00002CB00000}"/>
    <cellStyle name="SAPBEXaggDataEmph 2 2" xfId="44956" xr:uid="{00000000-0005-0000-0000-00002DB00000}"/>
    <cellStyle name="SAPBEXaggDataEmph 2 2 2" xfId="44957" xr:uid="{00000000-0005-0000-0000-00002EB00000}"/>
    <cellStyle name="SAPBEXaggDataEmph 2 2 2 2" xfId="44958" xr:uid="{00000000-0005-0000-0000-00002FB00000}"/>
    <cellStyle name="SAPBEXaggDataEmph 2 2 2 2 2" xfId="44959" xr:uid="{00000000-0005-0000-0000-000030B00000}"/>
    <cellStyle name="SAPBEXaggDataEmph 2 2 2 2 2 2" xfId="44960" xr:uid="{00000000-0005-0000-0000-000031B00000}"/>
    <cellStyle name="SAPBEXaggDataEmph 2 2 2 2 3" xfId="44961" xr:uid="{00000000-0005-0000-0000-000032B00000}"/>
    <cellStyle name="SAPBEXaggDataEmph 2 2 2 3" xfId="44962" xr:uid="{00000000-0005-0000-0000-000033B00000}"/>
    <cellStyle name="SAPBEXaggDataEmph 2 2 2 3 2" xfId="44963" xr:uid="{00000000-0005-0000-0000-000034B00000}"/>
    <cellStyle name="SAPBEXaggDataEmph 2 2 2 4" xfId="44964" xr:uid="{00000000-0005-0000-0000-000035B00000}"/>
    <cellStyle name="SAPBEXaggDataEmph 2 2 3" xfId="44965" xr:uid="{00000000-0005-0000-0000-000036B00000}"/>
    <cellStyle name="SAPBEXaggDataEmph 2 2 3 2" xfId="44966" xr:uid="{00000000-0005-0000-0000-000037B00000}"/>
    <cellStyle name="SAPBEXaggDataEmph 2 2 3 2 2" xfId="44967" xr:uid="{00000000-0005-0000-0000-000038B00000}"/>
    <cellStyle name="SAPBEXaggDataEmph 2 2 3 3" xfId="44968" xr:uid="{00000000-0005-0000-0000-000039B00000}"/>
    <cellStyle name="SAPBEXaggDataEmph 2 2 4" xfId="44969" xr:uid="{00000000-0005-0000-0000-00003AB00000}"/>
    <cellStyle name="SAPBEXaggDataEmph 2 2 4 2" xfId="44970" xr:uid="{00000000-0005-0000-0000-00003BB00000}"/>
    <cellStyle name="SAPBEXaggDataEmph 2 2 4 2 2" xfId="44971" xr:uid="{00000000-0005-0000-0000-00003CB00000}"/>
    <cellStyle name="SAPBEXaggDataEmph 2 2 4 3" xfId="44972" xr:uid="{00000000-0005-0000-0000-00003DB00000}"/>
    <cellStyle name="SAPBEXaggDataEmph 2 2 5" xfId="44973" xr:uid="{00000000-0005-0000-0000-00003EB00000}"/>
    <cellStyle name="SAPBEXaggDataEmph 2 2 5 2" xfId="44974" xr:uid="{00000000-0005-0000-0000-00003FB00000}"/>
    <cellStyle name="SAPBEXaggDataEmph 2 2 6" xfId="44975" xr:uid="{00000000-0005-0000-0000-000040B00000}"/>
    <cellStyle name="SAPBEXaggDataEmph 2 3" xfId="44976" xr:uid="{00000000-0005-0000-0000-000041B00000}"/>
    <cellStyle name="SAPBEXaggDataEmph 2 3 2" xfId="44977" xr:uid="{00000000-0005-0000-0000-000042B00000}"/>
    <cellStyle name="SAPBEXaggDataEmph 2 4" xfId="44978" xr:uid="{00000000-0005-0000-0000-000043B00000}"/>
    <cellStyle name="SAPBEXaggDataEmph 2 4 2" xfId="44979" xr:uid="{00000000-0005-0000-0000-000044B00000}"/>
    <cellStyle name="SAPBEXaggDataEmph 2 4 2 2" xfId="44980" xr:uid="{00000000-0005-0000-0000-000045B00000}"/>
    <cellStyle name="SAPBEXaggDataEmph 2 4 3" xfId="44981" xr:uid="{00000000-0005-0000-0000-000046B00000}"/>
    <cellStyle name="SAPBEXaggDataEmph 2 5" xfId="44982" xr:uid="{00000000-0005-0000-0000-000047B00000}"/>
    <cellStyle name="SAPBEXaggDataEmph 2 5 2" xfId="44983" xr:uid="{00000000-0005-0000-0000-000048B00000}"/>
    <cellStyle name="SAPBEXaggDataEmph 2 5 2 2" xfId="44984" xr:uid="{00000000-0005-0000-0000-000049B00000}"/>
    <cellStyle name="SAPBEXaggDataEmph 2 5 3" xfId="44985" xr:uid="{00000000-0005-0000-0000-00004AB00000}"/>
    <cellStyle name="SAPBEXaggDataEmph 2 6" xfId="44986" xr:uid="{00000000-0005-0000-0000-00004BB00000}"/>
    <cellStyle name="SAPBEXaggDataEmph 3" xfId="44987" xr:uid="{00000000-0005-0000-0000-00004CB00000}"/>
    <cellStyle name="SAPBEXaggDataEmph 3 2" xfId="44988" xr:uid="{00000000-0005-0000-0000-00004DB00000}"/>
    <cellStyle name="SAPBEXaggDataEmph 3 2 2" xfId="44989" xr:uid="{00000000-0005-0000-0000-00004EB00000}"/>
    <cellStyle name="SAPBEXaggDataEmph 3 3" xfId="44990" xr:uid="{00000000-0005-0000-0000-00004FB00000}"/>
    <cellStyle name="SAPBEXaggDataEmph 3 3 2" xfId="44991" xr:uid="{00000000-0005-0000-0000-000050B00000}"/>
    <cellStyle name="SAPBEXaggDataEmph 3 3 2 2" xfId="44992" xr:uid="{00000000-0005-0000-0000-000051B00000}"/>
    <cellStyle name="SAPBEXaggDataEmph 3 3 3" xfId="44993" xr:uid="{00000000-0005-0000-0000-000052B00000}"/>
    <cellStyle name="SAPBEXaggDataEmph 3 4" xfId="44994" xr:uid="{00000000-0005-0000-0000-000053B00000}"/>
    <cellStyle name="SAPBEXaggDataEmph 3 4 2" xfId="44995" xr:uid="{00000000-0005-0000-0000-000054B00000}"/>
    <cellStyle name="SAPBEXaggDataEmph 3 4 2 2" xfId="44996" xr:uid="{00000000-0005-0000-0000-000055B00000}"/>
    <cellStyle name="SAPBEXaggDataEmph 3 4 3" xfId="44997" xr:uid="{00000000-0005-0000-0000-000056B00000}"/>
    <cellStyle name="SAPBEXaggDataEmph 3 5" xfId="44998" xr:uid="{00000000-0005-0000-0000-000057B00000}"/>
    <cellStyle name="SAPBEXaggDataEmph 4" xfId="44999" xr:uid="{00000000-0005-0000-0000-000058B00000}"/>
    <cellStyle name="SAPBEXaggDataEmph 4 2" xfId="45000" xr:uid="{00000000-0005-0000-0000-000059B00000}"/>
    <cellStyle name="SAPBEXaggDataEmph 4 2 2" xfId="45001" xr:uid="{00000000-0005-0000-0000-00005AB00000}"/>
    <cellStyle name="SAPBEXaggDataEmph 4 2 2 2" xfId="45002" xr:uid="{00000000-0005-0000-0000-00005BB00000}"/>
    <cellStyle name="SAPBEXaggDataEmph 4 2 3" xfId="45003" xr:uid="{00000000-0005-0000-0000-00005CB00000}"/>
    <cellStyle name="SAPBEXaggDataEmph 4 2 3 2" xfId="45004" xr:uid="{00000000-0005-0000-0000-00005DB00000}"/>
    <cellStyle name="SAPBEXaggDataEmph 4 2 3 2 2" xfId="45005" xr:uid="{00000000-0005-0000-0000-00005EB00000}"/>
    <cellStyle name="SAPBEXaggDataEmph 4 2 3 3" xfId="45006" xr:uid="{00000000-0005-0000-0000-00005FB00000}"/>
    <cellStyle name="SAPBEXaggDataEmph 4 2 4" xfId="45007" xr:uid="{00000000-0005-0000-0000-000060B00000}"/>
    <cellStyle name="SAPBEXaggDataEmph 4 3" xfId="45008" xr:uid="{00000000-0005-0000-0000-000061B00000}"/>
    <cellStyle name="SAPBEXaggDataEmph 4 3 2" xfId="45009" xr:uid="{00000000-0005-0000-0000-000062B00000}"/>
    <cellStyle name="SAPBEXaggDataEmph 4 3 2 2" xfId="45010" xr:uid="{00000000-0005-0000-0000-000063B00000}"/>
    <cellStyle name="SAPBEXaggDataEmph 4 3 3" xfId="45011" xr:uid="{00000000-0005-0000-0000-000064B00000}"/>
    <cellStyle name="SAPBEXaggDataEmph 4 4" xfId="45012" xr:uid="{00000000-0005-0000-0000-000065B00000}"/>
    <cellStyle name="SAPBEXaggDataEmph 4 4 2" xfId="45013" xr:uid="{00000000-0005-0000-0000-000066B00000}"/>
    <cellStyle name="SAPBEXaggDataEmph 4 4 2 2" xfId="45014" xr:uid="{00000000-0005-0000-0000-000067B00000}"/>
    <cellStyle name="SAPBEXaggDataEmph 4 4 3" xfId="45015" xr:uid="{00000000-0005-0000-0000-000068B00000}"/>
    <cellStyle name="SAPBEXaggDataEmph 4 5" xfId="45016" xr:uid="{00000000-0005-0000-0000-000069B00000}"/>
    <cellStyle name="SAPBEXaggDataEmph 4 5 2" xfId="45017" xr:uid="{00000000-0005-0000-0000-00006AB00000}"/>
    <cellStyle name="SAPBEXaggDataEmph 4 5 2 2" xfId="45018" xr:uid="{00000000-0005-0000-0000-00006BB00000}"/>
    <cellStyle name="SAPBEXaggDataEmph 4 5 3" xfId="45019" xr:uid="{00000000-0005-0000-0000-00006CB00000}"/>
    <cellStyle name="SAPBEXaggDataEmph 4 6" xfId="45020" xr:uid="{00000000-0005-0000-0000-00006DB00000}"/>
    <cellStyle name="SAPBEXaggDataEmph 5" xfId="45021" xr:uid="{00000000-0005-0000-0000-00006EB00000}"/>
    <cellStyle name="SAPBEXaggDataEmph 5 2" xfId="45022" xr:uid="{00000000-0005-0000-0000-00006FB00000}"/>
    <cellStyle name="SAPBEXaggDataEmph 5 2 2" xfId="45023" xr:uid="{00000000-0005-0000-0000-000070B00000}"/>
    <cellStyle name="SAPBEXaggDataEmph 5 3" xfId="45024" xr:uid="{00000000-0005-0000-0000-000071B00000}"/>
    <cellStyle name="SAPBEXaggDataEmph 6" xfId="45025" xr:uid="{00000000-0005-0000-0000-000072B00000}"/>
    <cellStyle name="SAPBEXaggDataEmph 6 2" xfId="45026" xr:uid="{00000000-0005-0000-0000-000073B00000}"/>
    <cellStyle name="SAPBEXaggDataEmph 6 2 2" xfId="45027" xr:uid="{00000000-0005-0000-0000-000074B00000}"/>
    <cellStyle name="SAPBEXaggDataEmph 6 3" xfId="45028" xr:uid="{00000000-0005-0000-0000-000075B00000}"/>
    <cellStyle name="SAPBEXaggDataEmph 7" xfId="45029" xr:uid="{00000000-0005-0000-0000-000076B00000}"/>
    <cellStyle name="SAPBEXaggDataEmph 7 2" xfId="45030" xr:uid="{00000000-0005-0000-0000-000077B00000}"/>
    <cellStyle name="SAPBEXaggDataEmph 7 2 2" xfId="45031" xr:uid="{00000000-0005-0000-0000-000078B00000}"/>
    <cellStyle name="SAPBEXaggDataEmph 7 3" xfId="45032" xr:uid="{00000000-0005-0000-0000-000079B00000}"/>
    <cellStyle name="SAPBEXaggDataEmph 8" xfId="45033" xr:uid="{00000000-0005-0000-0000-00007AB00000}"/>
    <cellStyle name="SAPBEXaggDataEmph 8 2" xfId="45034" xr:uid="{00000000-0005-0000-0000-00007BB00000}"/>
    <cellStyle name="SAPBEXaggDataEmph 9" xfId="45035" xr:uid="{00000000-0005-0000-0000-00007CB00000}"/>
    <cellStyle name="SAPBEXaggDataEmph 9 2" xfId="45036" xr:uid="{00000000-0005-0000-0000-00007DB00000}"/>
    <cellStyle name="SAPBEXaggItem" xfId="42" xr:uid="{00000000-0005-0000-0000-00007EB00000}"/>
    <cellStyle name="SAPBEXaggItem 10" xfId="45037" xr:uid="{00000000-0005-0000-0000-00007FB00000}"/>
    <cellStyle name="SAPBEXaggItem 10 2" xfId="45038" xr:uid="{00000000-0005-0000-0000-000080B00000}"/>
    <cellStyle name="SAPBEXaggItem 11" xfId="45039" xr:uid="{00000000-0005-0000-0000-000081B00000}"/>
    <cellStyle name="SAPBEXaggItem 11 2" xfId="45040" xr:uid="{00000000-0005-0000-0000-000082B00000}"/>
    <cellStyle name="SAPBEXaggItem 12" xfId="45041" xr:uid="{00000000-0005-0000-0000-000083B00000}"/>
    <cellStyle name="SAPBEXaggItem 12 2" xfId="45042" xr:uid="{00000000-0005-0000-0000-000084B00000}"/>
    <cellStyle name="SAPBEXaggItem 13" xfId="45043" xr:uid="{00000000-0005-0000-0000-000085B00000}"/>
    <cellStyle name="SAPBEXaggItem 14" xfId="45044" xr:uid="{00000000-0005-0000-0000-000086B00000}"/>
    <cellStyle name="SAPBEXaggItem 2" xfId="45045" xr:uid="{00000000-0005-0000-0000-000087B00000}"/>
    <cellStyle name="SAPBEXaggItem 2 2" xfId="45046" xr:uid="{00000000-0005-0000-0000-000088B00000}"/>
    <cellStyle name="SAPBEXaggItem 2 2 2" xfId="45047" xr:uid="{00000000-0005-0000-0000-000089B00000}"/>
    <cellStyle name="SAPBEXaggItem 2 2 2 2" xfId="45048" xr:uid="{00000000-0005-0000-0000-00008AB00000}"/>
    <cellStyle name="SAPBEXaggItem 2 2 2 2 2" xfId="45049" xr:uid="{00000000-0005-0000-0000-00008BB00000}"/>
    <cellStyle name="SAPBEXaggItem 2 2 2 2 2 2" xfId="45050" xr:uid="{00000000-0005-0000-0000-00008CB00000}"/>
    <cellStyle name="SAPBEXaggItem 2 2 2 2 3" xfId="45051" xr:uid="{00000000-0005-0000-0000-00008DB00000}"/>
    <cellStyle name="SAPBEXaggItem 2 2 2 3" xfId="45052" xr:uid="{00000000-0005-0000-0000-00008EB00000}"/>
    <cellStyle name="SAPBEXaggItem 2 2 2 3 2" xfId="45053" xr:uid="{00000000-0005-0000-0000-00008FB00000}"/>
    <cellStyle name="SAPBEXaggItem 2 2 2 4" xfId="45054" xr:uid="{00000000-0005-0000-0000-000090B00000}"/>
    <cellStyle name="SAPBEXaggItem 2 2 3" xfId="45055" xr:uid="{00000000-0005-0000-0000-000091B00000}"/>
    <cellStyle name="SAPBEXaggItem 2 2 3 2" xfId="45056" xr:uid="{00000000-0005-0000-0000-000092B00000}"/>
    <cellStyle name="SAPBEXaggItem 2 2 3 2 2" xfId="45057" xr:uid="{00000000-0005-0000-0000-000093B00000}"/>
    <cellStyle name="SAPBEXaggItem 2 2 3 3" xfId="45058" xr:uid="{00000000-0005-0000-0000-000094B00000}"/>
    <cellStyle name="SAPBEXaggItem 2 2 4" xfId="45059" xr:uid="{00000000-0005-0000-0000-000095B00000}"/>
    <cellStyle name="SAPBEXaggItem 2 2 4 2" xfId="45060" xr:uid="{00000000-0005-0000-0000-000096B00000}"/>
    <cellStyle name="SAPBEXaggItem 2 2 4 2 2" xfId="45061" xr:uid="{00000000-0005-0000-0000-000097B00000}"/>
    <cellStyle name="SAPBEXaggItem 2 2 4 3" xfId="45062" xr:uid="{00000000-0005-0000-0000-000098B00000}"/>
    <cellStyle name="SAPBEXaggItem 2 2 5" xfId="45063" xr:uid="{00000000-0005-0000-0000-000099B00000}"/>
    <cellStyle name="SAPBEXaggItem 2 2 5 2" xfId="45064" xr:uid="{00000000-0005-0000-0000-00009AB00000}"/>
    <cellStyle name="SAPBEXaggItem 2 2 6" xfId="45065" xr:uid="{00000000-0005-0000-0000-00009BB00000}"/>
    <cellStyle name="SAPBEXaggItem 2 3" xfId="45066" xr:uid="{00000000-0005-0000-0000-00009CB00000}"/>
    <cellStyle name="SAPBEXaggItem 2 3 2" xfId="45067" xr:uid="{00000000-0005-0000-0000-00009DB00000}"/>
    <cellStyle name="SAPBEXaggItem 2 4" xfId="45068" xr:uid="{00000000-0005-0000-0000-00009EB00000}"/>
    <cellStyle name="SAPBEXaggItem 2 4 2" xfId="45069" xr:uid="{00000000-0005-0000-0000-00009FB00000}"/>
    <cellStyle name="SAPBEXaggItem 2 4 2 2" xfId="45070" xr:uid="{00000000-0005-0000-0000-0000A0B00000}"/>
    <cellStyle name="SAPBEXaggItem 2 4 3" xfId="45071" xr:uid="{00000000-0005-0000-0000-0000A1B00000}"/>
    <cellStyle name="SAPBEXaggItem 2 5" xfId="45072" xr:uid="{00000000-0005-0000-0000-0000A2B00000}"/>
    <cellStyle name="SAPBEXaggItem 2 5 2" xfId="45073" xr:uid="{00000000-0005-0000-0000-0000A3B00000}"/>
    <cellStyle name="SAPBEXaggItem 2 5 2 2" xfId="45074" xr:uid="{00000000-0005-0000-0000-0000A4B00000}"/>
    <cellStyle name="SAPBEXaggItem 2 5 3" xfId="45075" xr:uid="{00000000-0005-0000-0000-0000A5B00000}"/>
    <cellStyle name="SAPBEXaggItem 2 6" xfId="45076" xr:uid="{00000000-0005-0000-0000-0000A6B00000}"/>
    <cellStyle name="SAPBEXaggItem 3" xfId="45077" xr:uid="{00000000-0005-0000-0000-0000A7B00000}"/>
    <cellStyle name="SAPBEXaggItem 3 2" xfId="45078" xr:uid="{00000000-0005-0000-0000-0000A8B00000}"/>
    <cellStyle name="SAPBEXaggItem 3 2 2" xfId="45079" xr:uid="{00000000-0005-0000-0000-0000A9B00000}"/>
    <cellStyle name="SAPBEXaggItem 3 3" xfId="45080" xr:uid="{00000000-0005-0000-0000-0000AAB00000}"/>
    <cellStyle name="SAPBEXaggItem 3 3 2" xfId="45081" xr:uid="{00000000-0005-0000-0000-0000ABB00000}"/>
    <cellStyle name="SAPBEXaggItem 3 3 2 2" xfId="45082" xr:uid="{00000000-0005-0000-0000-0000ACB00000}"/>
    <cellStyle name="SAPBEXaggItem 3 3 3" xfId="45083" xr:uid="{00000000-0005-0000-0000-0000ADB00000}"/>
    <cellStyle name="SAPBEXaggItem 3 4" xfId="45084" xr:uid="{00000000-0005-0000-0000-0000AEB00000}"/>
    <cellStyle name="SAPBEXaggItem 3 4 2" xfId="45085" xr:uid="{00000000-0005-0000-0000-0000AFB00000}"/>
    <cellStyle name="SAPBEXaggItem 3 4 2 2" xfId="45086" xr:uid="{00000000-0005-0000-0000-0000B0B00000}"/>
    <cellStyle name="SAPBEXaggItem 3 4 3" xfId="45087" xr:uid="{00000000-0005-0000-0000-0000B1B00000}"/>
    <cellStyle name="SAPBEXaggItem 3 5" xfId="45088" xr:uid="{00000000-0005-0000-0000-0000B2B00000}"/>
    <cellStyle name="SAPBEXaggItem 4" xfId="45089" xr:uid="{00000000-0005-0000-0000-0000B3B00000}"/>
    <cellStyle name="SAPBEXaggItem 4 2" xfId="45090" xr:uid="{00000000-0005-0000-0000-0000B4B00000}"/>
    <cellStyle name="SAPBEXaggItem 4 2 2" xfId="45091" xr:uid="{00000000-0005-0000-0000-0000B5B00000}"/>
    <cellStyle name="SAPBEXaggItem 4 2 2 2" xfId="45092" xr:uid="{00000000-0005-0000-0000-0000B6B00000}"/>
    <cellStyle name="SAPBEXaggItem 4 2 3" xfId="45093" xr:uid="{00000000-0005-0000-0000-0000B7B00000}"/>
    <cellStyle name="SAPBEXaggItem 4 2 3 2" xfId="45094" xr:uid="{00000000-0005-0000-0000-0000B8B00000}"/>
    <cellStyle name="SAPBEXaggItem 4 2 3 2 2" xfId="45095" xr:uid="{00000000-0005-0000-0000-0000B9B00000}"/>
    <cellStyle name="SAPBEXaggItem 4 2 3 3" xfId="45096" xr:uid="{00000000-0005-0000-0000-0000BAB00000}"/>
    <cellStyle name="SAPBEXaggItem 4 2 4" xfId="45097" xr:uid="{00000000-0005-0000-0000-0000BBB00000}"/>
    <cellStyle name="SAPBEXaggItem 4 3" xfId="45098" xr:uid="{00000000-0005-0000-0000-0000BCB00000}"/>
    <cellStyle name="SAPBEXaggItem 4 3 2" xfId="45099" xr:uid="{00000000-0005-0000-0000-0000BDB00000}"/>
    <cellStyle name="SAPBEXaggItem 4 3 2 2" xfId="45100" xr:uid="{00000000-0005-0000-0000-0000BEB00000}"/>
    <cellStyle name="SAPBEXaggItem 4 3 3" xfId="45101" xr:uid="{00000000-0005-0000-0000-0000BFB00000}"/>
    <cellStyle name="SAPBEXaggItem 4 4" xfId="45102" xr:uid="{00000000-0005-0000-0000-0000C0B00000}"/>
    <cellStyle name="SAPBEXaggItem 4 4 2" xfId="45103" xr:uid="{00000000-0005-0000-0000-0000C1B00000}"/>
    <cellStyle name="SAPBEXaggItem 4 4 2 2" xfId="45104" xr:uid="{00000000-0005-0000-0000-0000C2B00000}"/>
    <cellStyle name="SAPBEXaggItem 4 4 3" xfId="45105" xr:uid="{00000000-0005-0000-0000-0000C3B00000}"/>
    <cellStyle name="SAPBEXaggItem 4 5" xfId="45106" xr:uid="{00000000-0005-0000-0000-0000C4B00000}"/>
    <cellStyle name="SAPBEXaggItem 4 5 2" xfId="45107" xr:uid="{00000000-0005-0000-0000-0000C5B00000}"/>
    <cellStyle name="SAPBEXaggItem 4 5 2 2" xfId="45108" xr:uid="{00000000-0005-0000-0000-0000C6B00000}"/>
    <cellStyle name="SAPBEXaggItem 4 5 3" xfId="45109" xr:uid="{00000000-0005-0000-0000-0000C7B00000}"/>
    <cellStyle name="SAPBEXaggItem 4 6" xfId="45110" xr:uid="{00000000-0005-0000-0000-0000C8B00000}"/>
    <cellStyle name="SAPBEXaggItem 5" xfId="45111" xr:uid="{00000000-0005-0000-0000-0000C9B00000}"/>
    <cellStyle name="SAPBEXaggItem 5 2" xfId="45112" xr:uid="{00000000-0005-0000-0000-0000CAB00000}"/>
    <cellStyle name="SAPBEXaggItem 5 2 2" xfId="45113" xr:uid="{00000000-0005-0000-0000-0000CBB00000}"/>
    <cellStyle name="SAPBEXaggItem 5 3" xfId="45114" xr:uid="{00000000-0005-0000-0000-0000CCB00000}"/>
    <cellStyle name="SAPBEXaggItem 6" xfId="45115" xr:uid="{00000000-0005-0000-0000-0000CDB00000}"/>
    <cellStyle name="SAPBEXaggItem 6 2" xfId="45116" xr:uid="{00000000-0005-0000-0000-0000CEB00000}"/>
    <cellStyle name="SAPBEXaggItem 6 2 2" xfId="45117" xr:uid="{00000000-0005-0000-0000-0000CFB00000}"/>
    <cellStyle name="SAPBEXaggItem 6 3" xfId="45118" xr:uid="{00000000-0005-0000-0000-0000D0B00000}"/>
    <cellStyle name="SAPBEXaggItem 7" xfId="45119" xr:uid="{00000000-0005-0000-0000-0000D1B00000}"/>
    <cellStyle name="SAPBEXaggItem 7 2" xfId="45120" xr:uid="{00000000-0005-0000-0000-0000D2B00000}"/>
    <cellStyle name="SAPBEXaggItem 7 2 2" xfId="45121" xr:uid="{00000000-0005-0000-0000-0000D3B00000}"/>
    <cellStyle name="SAPBEXaggItem 7 3" xfId="45122" xr:uid="{00000000-0005-0000-0000-0000D4B00000}"/>
    <cellStyle name="SAPBEXaggItem 8" xfId="45123" xr:uid="{00000000-0005-0000-0000-0000D5B00000}"/>
    <cellStyle name="SAPBEXaggItem 8 2" xfId="45124" xr:uid="{00000000-0005-0000-0000-0000D6B00000}"/>
    <cellStyle name="SAPBEXaggItem 9" xfId="45125" xr:uid="{00000000-0005-0000-0000-0000D7B00000}"/>
    <cellStyle name="SAPBEXaggItem 9 2" xfId="45126" xr:uid="{00000000-0005-0000-0000-0000D8B00000}"/>
    <cellStyle name="SAPBEXaggItemX" xfId="43" xr:uid="{00000000-0005-0000-0000-0000D9B00000}"/>
    <cellStyle name="SAPBEXaggItemX 10" xfId="45127" xr:uid="{00000000-0005-0000-0000-0000DAB00000}"/>
    <cellStyle name="SAPBEXaggItemX 10 2" xfId="45128" xr:uid="{00000000-0005-0000-0000-0000DBB00000}"/>
    <cellStyle name="SAPBEXaggItemX 10 2 2" xfId="45129" xr:uid="{00000000-0005-0000-0000-0000DCB00000}"/>
    <cellStyle name="SAPBEXaggItemX 10 3" xfId="45130" xr:uid="{00000000-0005-0000-0000-0000DDB00000}"/>
    <cellStyle name="SAPBEXaggItemX 11" xfId="45131" xr:uid="{00000000-0005-0000-0000-0000DEB00000}"/>
    <cellStyle name="SAPBEXaggItemX 11 2" xfId="45132" xr:uid="{00000000-0005-0000-0000-0000DFB00000}"/>
    <cellStyle name="SAPBEXaggItemX 12" xfId="45133" xr:uid="{00000000-0005-0000-0000-0000E0B00000}"/>
    <cellStyle name="SAPBEXaggItemX 12 2" xfId="45134" xr:uid="{00000000-0005-0000-0000-0000E1B00000}"/>
    <cellStyle name="SAPBEXaggItemX 12 2 2" xfId="45135" xr:uid="{00000000-0005-0000-0000-0000E2B00000}"/>
    <cellStyle name="SAPBEXaggItemX 12 3" xfId="45136" xr:uid="{00000000-0005-0000-0000-0000E3B00000}"/>
    <cellStyle name="SAPBEXaggItemX 12 3 2" xfId="45137" xr:uid="{00000000-0005-0000-0000-0000E4B00000}"/>
    <cellStyle name="SAPBEXaggItemX 12 4" xfId="45138" xr:uid="{00000000-0005-0000-0000-0000E5B00000}"/>
    <cellStyle name="SAPBEXaggItemX 13" xfId="45139" xr:uid="{00000000-0005-0000-0000-0000E6B00000}"/>
    <cellStyle name="SAPBEXaggItemX 13 2" xfId="45140" xr:uid="{00000000-0005-0000-0000-0000E7B00000}"/>
    <cellStyle name="SAPBEXaggItemX 14" xfId="45141" xr:uid="{00000000-0005-0000-0000-0000E8B00000}"/>
    <cellStyle name="SAPBEXaggItemX 14 2" xfId="45142" xr:uid="{00000000-0005-0000-0000-0000E9B00000}"/>
    <cellStyle name="SAPBEXaggItemX 15" xfId="45143" xr:uid="{00000000-0005-0000-0000-0000EAB00000}"/>
    <cellStyle name="SAPBEXaggItemX 15 2" xfId="45144" xr:uid="{00000000-0005-0000-0000-0000EBB00000}"/>
    <cellStyle name="SAPBEXaggItemX 16" xfId="45145" xr:uid="{00000000-0005-0000-0000-0000ECB00000}"/>
    <cellStyle name="SAPBEXaggItemX 17" xfId="45146" xr:uid="{00000000-0005-0000-0000-0000EDB00000}"/>
    <cellStyle name="SAPBEXaggItemX 2" xfId="45147" xr:uid="{00000000-0005-0000-0000-0000EEB00000}"/>
    <cellStyle name="SAPBEXaggItemX 2 2" xfId="45148" xr:uid="{00000000-0005-0000-0000-0000EFB00000}"/>
    <cellStyle name="SAPBEXaggItemX 2 2 2" xfId="45149" xr:uid="{00000000-0005-0000-0000-0000F0B00000}"/>
    <cellStyle name="SAPBEXaggItemX 2 2 2 2" xfId="45150" xr:uid="{00000000-0005-0000-0000-0000F1B00000}"/>
    <cellStyle name="SAPBEXaggItemX 2 2 2 2 2" xfId="45151" xr:uid="{00000000-0005-0000-0000-0000F2B00000}"/>
    <cellStyle name="SAPBEXaggItemX 2 2 2 3" xfId="45152" xr:uid="{00000000-0005-0000-0000-0000F3B00000}"/>
    <cellStyle name="SAPBEXaggItemX 2 2 3" xfId="45153" xr:uid="{00000000-0005-0000-0000-0000F4B00000}"/>
    <cellStyle name="SAPBEXaggItemX 2 2 3 2" xfId="45154" xr:uid="{00000000-0005-0000-0000-0000F5B00000}"/>
    <cellStyle name="SAPBEXaggItemX 2 2 3 2 2" xfId="45155" xr:uid="{00000000-0005-0000-0000-0000F6B00000}"/>
    <cellStyle name="SAPBEXaggItemX 2 2 3 3" xfId="45156" xr:uid="{00000000-0005-0000-0000-0000F7B00000}"/>
    <cellStyle name="SAPBEXaggItemX 2 2 4" xfId="45157" xr:uid="{00000000-0005-0000-0000-0000F8B00000}"/>
    <cellStyle name="SAPBEXaggItemX 2 2 4 2" xfId="45158" xr:uid="{00000000-0005-0000-0000-0000F9B00000}"/>
    <cellStyle name="SAPBEXaggItemX 2 2 4 2 2" xfId="45159" xr:uid="{00000000-0005-0000-0000-0000FAB00000}"/>
    <cellStyle name="SAPBEXaggItemX 2 2 4 3" xfId="45160" xr:uid="{00000000-0005-0000-0000-0000FBB00000}"/>
    <cellStyle name="SAPBEXaggItemX 2 2 5" xfId="45161" xr:uid="{00000000-0005-0000-0000-0000FCB00000}"/>
    <cellStyle name="SAPBEXaggItemX 2 2 5 2" xfId="45162" xr:uid="{00000000-0005-0000-0000-0000FDB00000}"/>
    <cellStyle name="SAPBEXaggItemX 2 2 6" xfId="45163" xr:uid="{00000000-0005-0000-0000-0000FEB00000}"/>
    <cellStyle name="SAPBEXaggItemX 2 3" xfId="45164" xr:uid="{00000000-0005-0000-0000-0000FFB00000}"/>
    <cellStyle name="SAPBEXaggItemX 2 3 2" xfId="45165" xr:uid="{00000000-0005-0000-0000-000000B10000}"/>
    <cellStyle name="SAPBEXaggItemX 2 3 2 2" xfId="45166" xr:uid="{00000000-0005-0000-0000-000001B10000}"/>
    <cellStyle name="SAPBEXaggItemX 2 3 2 2 2" xfId="45167" xr:uid="{00000000-0005-0000-0000-000002B10000}"/>
    <cellStyle name="SAPBEXaggItemX 2 3 2 2 2 2" xfId="45168" xr:uid="{00000000-0005-0000-0000-000003B10000}"/>
    <cellStyle name="SAPBEXaggItemX 2 3 2 2 3" xfId="45169" xr:uid="{00000000-0005-0000-0000-000004B10000}"/>
    <cellStyle name="SAPBEXaggItemX 2 3 2 3" xfId="45170" xr:uid="{00000000-0005-0000-0000-000005B10000}"/>
    <cellStyle name="SAPBEXaggItemX 2 3 2 3 2" xfId="45171" xr:uid="{00000000-0005-0000-0000-000006B10000}"/>
    <cellStyle name="SAPBEXaggItemX 2 3 2 3 2 2" xfId="45172" xr:uid="{00000000-0005-0000-0000-000007B10000}"/>
    <cellStyle name="SAPBEXaggItemX 2 3 2 3 3" xfId="45173" xr:uid="{00000000-0005-0000-0000-000008B10000}"/>
    <cellStyle name="SAPBEXaggItemX 2 3 2 4" xfId="45174" xr:uid="{00000000-0005-0000-0000-000009B10000}"/>
    <cellStyle name="SAPBEXaggItemX 2 3 2 4 2" xfId="45175" xr:uid="{00000000-0005-0000-0000-00000AB10000}"/>
    <cellStyle name="SAPBEXaggItemX 2 3 2 5" xfId="45176" xr:uid="{00000000-0005-0000-0000-00000BB10000}"/>
    <cellStyle name="SAPBEXaggItemX 2 3 3" xfId="45177" xr:uid="{00000000-0005-0000-0000-00000CB10000}"/>
    <cellStyle name="SAPBEXaggItemX 2 3 3 2" xfId="45178" xr:uid="{00000000-0005-0000-0000-00000DB10000}"/>
    <cellStyle name="SAPBEXaggItemX 2 3 3 2 2" xfId="45179" xr:uid="{00000000-0005-0000-0000-00000EB10000}"/>
    <cellStyle name="SAPBEXaggItemX 2 3 3 2 2 2" xfId="45180" xr:uid="{00000000-0005-0000-0000-00000FB10000}"/>
    <cellStyle name="SAPBEXaggItemX 2 3 3 2 3" xfId="45181" xr:uid="{00000000-0005-0000-0000-000010B10000}"/>
    <cellStyle name="SAPBEXaggItemX 2 3 3 3" xfId="45182" xr:uid="{00000000-0005-0000-0000-000011B10000}"/>
    <cellStyle name="SAPBEXaggItemX 2 3 3 3 2" xfId="45183" xr:uid="{00000000-0005-0000-0000-000012B10000}"/>
    <cellStyle name="SAPBEXaggItemX 2 3 3 4" xfId="45184" xr:uid="{00000000-0005-0000-0000-000013B10000}"/>
    <cellStyle name="SAPBEXaggItemX 2 3 4" xfId="45185" xr:uid="{00000000-0005-0000-0000-000014B10000}"/>
    <cellStyle name="SAPBEXaggItemX 2 3 4 2" xfId="45186" xr:uid="{00000000-0005-0000-0000-000015B10000}"/>
    <cellStyle name="SAPBEXaggItemX 2 3 4 2 2" xfId="45187" xr:uid="{00000000-0005-0000-0000-000016B10000}"/>
    <cellStyle name="SAPBEXaggItemX 2 3 4 3" xfId="45188" xr:uid="{00000000-0005-0000-0000-000017B10000}"/>
    <cellStyle name="SAPBEXaggItemX 2 3 5" xfId="45189" xr:uid="{00000000-0005-0000-0000-000018B10000}"/>
    <cellStyle name="SAPBEXaggItemX 2 3 5 2" xfId="45190" xr:uid="{00000000-0005-0000-0000-000019B10000}"/>
    <cellStyle name="SAPBEXaggItemX 2 3 5 2 2" xfId="45191" xr:uid="{00000000-0005-0000-0000-00001AB10000}"/>
    <cellStyle name="SAPBEXaggItemX 2 3 5 3" xfId="45192" xr:uid="{00000000-0005-0000-0000-00001BB10000}"/>
    <cellStyle name="SAPBEXaggItemX 2 3 6" xfId="45193" xr:uid="{00000000-0005-0000-0000-00001CB10000}"/>
    <cellStyle name="SAPBEXaggItemX 2 3 6 2" xfId="45194" xr:uid="{00000000-0005-0000-0000-00001DB10000}"/>
    <cellStyle name="SAPBEXaggItemX 2 3 7" xfId="45195" xr:uid="{00000000-0005-0000-0000-00001EB10000}"/>
    <cellStyle name="SAPBEXaggItemX 2 4" xfId="45196" xr:uid="{00000000-0005-0000-0000-00001FB10000}"/>
    <cellStyle name="SAPBEXaggItemX 2 4 2" xfId="45197" xr:uid="{00000000-0005-0000-0000-000020B10000}"/>
    <cellStyle name="SAPBEXaggItemX 2 4 2 2" xfId="45198" xr:uid="{00000000-0005-0000-0000-000021B10000}"/>
    <cellStyle name="SAPBEXaggItemX 2 4 2 2 2" xfId="45199" xr:uid="{00000000-0005-0000-0000-000022B10000}"/>
    <cellStyle name="SAPBEXaggItemX 2 4 2 2 2 2" xfId="45200" xr:uid="{00000000-0005-0000-0000-000023B10000}"/>
    <cellStyle name="SAPBEXaggItemX 2 4 2 2 3" xfId="45201" xr:uid="{00000000-0005-0000-0000-000024B10000}"/>
    <cellStyle name="SAPBEXaggItemX 2 4 2 3" xfId="45202" xr:uid="{00000000-0005-0000-0000-000025B10000}"/>
    <cellStyle name="SAPBEXaggItemX 2 4 2 3 2" xfId="45203" xr:uid="{00000000-0005-0000-0000-000026B10000}"/>
    <cellStyle name="SAPBEXaggItemX 2 4 2 3 2 2" xfId="45204" xr:uid="{00000000-0005-0000-0000-000027B10000}"/>
    <cellStyle name="SAPBEXaggItemX 2 4 2 3 3" xfId="45205" xr:uid="{00000000-0005-0000-0000-000028B10000}"/>
    <cellStyle name="SAPBEXaggItemX 2 4 2 4" xfId="45206" xr:uid="{00000000-0005-0000-0000-000029B10000}"/>
    <cellStyle name="SAPBEXaggItemX 2 4 2 4 2" xfId="45207" xr:uid="{00000000-0005-0000-0000-00002AB10000}"/>
    <cellStyle name="SAPBEXaggItemX 2 4 2 5" xfId="45208" xr:uid="{00000000-0005-0000-0000-00002BB10000}"/>
    <cellStyle name="SAPBEXaggItemX 2 4 3" xfId="45209" xr:uid="{00000000-0005-0000-0000-00002CB10000}"/>
    <cellStyle name="SAPBEXaggItemX 2 4 3 2" xfId="45210" xr:uid="{00000000-0005-0000-0000-00002DB10000}"/>
    <cellStyle name="SAPBEXaggItemX 2 4 3 2 2" xfId="45211" xr:uid="{00000000-0005-0000-0000-00002EB10000}"/>
    <cellStyle name="SAPBEXaggItemX 2 4 3 2 2 2" xfId="45212" xr:uid="{00000000-0005-0000-0000-00002FB10000}"/>
    <cellStyle name="SAPBEXaggItemX 2 4 3 2 3" xfId="45213" xr:uid="{00000000-0005-0000-0000-000030B10000}"/>
    <cellStyle name="SAPBEXaggItemX 2 4 3 3" xfId="45214" xr:uid="{00000000-0005-0000-0000-000031B10000}"/>
    <cellStyle name="SAPBEXaggItemX 2 4 3 3 2" xfId="45215" xr:uid="{00000000-0005-0000-0000-000032B10000}"/>
    <cellStyle name="SAPBEXaggItemX 2 4 3 4" xfId="45216" xr:uid="{00000000-0005-0000-0000-000033B10000}"/>
    <cellStyle name="SAPBEXaggItemX 2 4 4" xfId="45217" xr:uid="{00000000-0005-0000-0000-000034B10000}"/>
    <cellStyle name="SAPBEXaggItemX 2 4 4 2" xfId="45218" xr:uid="{00000000-0005-0000-0000-000035B10000}"/>
    <cellStyle name="SAPBEXaggItemX 2 4 4 2 2" xfId="45219" xr:uid="{00000000-0005-0000-0000-000036B10000}"/>
    <cellStyle name="SAPBEXaggItemX 2 4 4 3" xfId="45220" xr:uid="{00000000-0005-0000-0000-000037B10000}"/>
    <cellStyle name="SAPBEXaggItemX 2 4 5" xfId="45221" xr:uid="{00000000-0005-0000-0000-000038B10000}"/>
    <cellStyle name="SAPBEXaggItemX 2 4 5 2" xfId="45222" xr:uid="{00000000-0005-0000-0000-000039B10000}"/>
    <cellStyle name="SAPBEXaggItemX 2 4 6" xfId="45223" xr:uid="{00000000-0005-0000-0000-00003AB10000}"/>
    <cellStyle name="SAPBEXaggItemX 2 5" xfId="45224" xr:uid="{00000000-0005-0000-0000-00003BB10000}"/>
    <cellStyle name="SAPBEXaggItemX 2 5 2" xfId="45225" xr:uid="{00000000-0005-0000-0000-00003CB10000}"/>
    <cellStyle name="SAPBEXaggItemX 2 5 2 2" xfId="45226" xr:uid="{00000000-0005-0000-0000-00003DB10000}"/>
    <cellStyle name="SAPBEXaggItemX 2 5 2 2 2" xfId="45227" xr:uid="{00000000-0005-0000-0000-00003EB10000}"/>
    <cellStyle name="SAPBEXaggItemX 2 5 2 3" xfId="45228" xr:uid="{00000000-0005-0000-0000-00003FB10000}"/>
    <cellStyle name="SAPBEXaggItemX 2 5 3" xfId="45229" xr:uid="{00000000-0005-0000-0000-000040B10000}"/>
    <cellStyle name="SAPBEXaggItemX 2 5 3 2" xfId="45230" xr:uid="{00000000-0005-0000-0000-000041B10000}"/>
    <cellStyle name="SAPBEXaggItemX 2 5 4" xfId="45231" xr:uid="{00000000-0005-0000-0000-000042B10000}"/>
    <cellStyle name="SAPBEXaggItemX 2 6" xfId="45232" xr:uid="{00000000-0005-0000-0000-000043B10000}"/>
    <cellStyle name="SAPBEXaggItemX 2 6 2" xfId="45233" xr:uid="{00000000-0005-0000-0000-000044B10000}"/>
    <cellStyle name="SAPBEXaggItemX 2 6 2 2" xfId="45234" xr:uid="{00000000-0005-0000-0000-000045B10000}"/>
    <cellStyle name="SAPBEXaggItemX 2 6 3" xfId="45235" xr:uid="{00000000-0005-0000-0000-000046B10000}"/>
    <cellStyle name="SAPBEXaggItemX 2 7" xfId="45236" xr:uid="{00000000-0005-0000-0000-000047B10000}"/>
    <cellStyle name="SAPBEXaggItemX 2 7 2" xfId="45237" xr:uid="{00000000-0005-0000-0000-000048B10000}"/>
    <cellStyle name="SAPBEXaggItemX 2 7 2 2" xfId="45238" xr:uid="{00000000-0005-0000-0000-000049B10000}"/>
    <cellStyle name="SAPBEXaggItemX 2 7 3" xfId="45239" xr:uid="{00000000-0005-0000-0000-00004AB10000}"/>
    <cellStyle name="SAPBEXaggItemX 2 8" xfId="45240" xr:uid="{00000000-0005-0000-0000-00004BB10000}"/>
    <cellStyle name="SAPBEXaggItemX 2 8 2" xfId="45241" xr:uid="{00000000-0005-0000-0000-00004CB10000}"/>
    <cellStyle name="SAPBEXaggItemX 2 9" xfId="45242" xr:uid="{00000000-0005-0000-0000-00004DB10000}"/>
    <cellStyle name="SAPBEXaggItemX 3" xfId="45243" xr:uid="{00000000-0005-0000-0000-00004EB10000}"/>
    <cellStyle name="SAPBEXaggItemX 3 2" xfId="45244" xr:uid="{00000000-0005-0000-0000-00004FB10000}"/>
    <cellStyle name="SAPBEXaggItemX 3 2 2" xfId="45245" xr:uid="{00000000-0005-0000-0000-000050B10000}"/>
    <cellStyle name="SAPBEXaggItemX 3 2 2 2" xfId="45246" xr:uid="{00000000-0005-0000-0000-000051B10000}"/>
    <cellStyle name="SAPBEXaggItemX 3 2 2 2 2" xfId="45247" xr:uid="{00000000-0005-0000-0000-000052B10000}"/>
    <cellStyle name="SAPBEXaggItemX 3 2 2 3" xfId="45248" xr:uid="{00000000-0005-0000-0000-000053B10000}"/>
    <cellStyle name="SAPBEXaggItemX 3 2 3" xfId="45249" xr:uid="{00000000-0005-0000-0000-000054B10000}"/>
    <cellStyle name="SAPBEXaggItemX 3 2 3 2" xfId="45250" xr:uid="{00000000-0005-0000-0000-000055B10000}"/>
    <cellStyle name="SAPBEXaggItemX 3 2 3 2 2" xfId="45251" xr:uid="{00000000-0005-0000-0000-000056B10000}"/>
    <cellStyle name="SAPBEXaggItemX 3 2 3 3" xfId="45252" xr:uid="{00000000-0005-0000-0000-000057B10000}"/>
    <cellStyle name="SAPBEXaggItemX 3 2 4" xfId="45253" xr:uid="{00000000-0005-0000-0000-000058B10000}"/>
    <cellStyle name="SAPBEXaggItemX 3 2 4 2" xfId="45254" xr:uid="{00000000-0005-0000-0000-000059B10000}"/>
    <cellStyle name="SAPBEXaggItemX 3 2 4 2 2" xfId="45255" xr:uid="{00000000-0005-0000-0000-00005AB10000}"/>
    <cellStyle name="SAPBEXaggItemX 3 2 4 3" xfId="45256" xr:uid="{00000000-0005-0000-0000-00005BB10000}"/>
    <cellStyle name="SAPBEXaggItemX 3 2 5" xfId="45257" xr:uid="{00000000-0005-0000-0000-00005CB10000}"/>
    <cellStyle name="SAPBEXaggItemX 3 2 5 2" xfId="45258" xr:uid="{00000000-0005-0000-0000-00005DB10000}"/>
    <cellStyle name="SAPBEXaggItemX 3 2 6" xfId="45259" xr:uid="{00000000-0005-0000-0000-00005EB10000}"/>
    <cellStyle name="SAPBEXaggItemX 3 3" xfId="45260" xr:uid="{00000000-0005-0000-0000-00005FB10000}"/>
    <cellStyle name="SAPBEXaggItemX 3 3 2" xfId="45261" xr:uid="{00000000-0005-0000-0000-000060B10000}"/>
    <cellStyle name="SAPBEXaggItemX 3 3 2 2" xfId="45262" xr:uid="{00000000-0005-0000-0000-000061B10000}"/>
    <cellStyle name="SAPBEXaggItemX 3 3 2 2 2" xfId="45263" xr:uid="{00000000-0005-0000-0000-000062B10000}"/>
    <cellStyle name="SAPBEXaggItemX 3 3 2 3" xfId="45264" xr:uid="{00000000-0005-0000-0000-000063B10000}"/>
    <cellStyle name="SAPBEXaggItemX 3 3 3" xfId="45265" xr:uid="{00000000-0005-0000-0000-000064B10000}"/>
    <cellStyle name="SAPBEXaggItemX 3 3 3 2" xfId="45266" xr:uid="{00000000-0005-0000-0000-000065B10000}"/>
    <cellStyle name="SAPBEXaggItemX 3 3 4" xfId="45267" xr:uid="{00000000-0005-0000-0000-000066B10000}"/>
    <cellStyle name="SAPBEXaggItemX 3 4" xfId="45268" xr:uid="{00000000-0005-0000-0000-000067B10000}"/>
    <cellStyle name="SAPBEXaggItemX 3 4 2" xfId="45269" xr:uid="{00000000-0005-0000-0000-000068B10000}"/>
    <cellStyle name="SAPBEXaggItemX 3 4 2 2" xfId="45270" xr:uid="{00000000-0005-0000-0000-000069B10000}"/>
    <cellStyle name="SAPBEXaggItemX 3 4 3" xfId="45271" xr:uid="{00000000-0005-0000-0000-00006AB10000}"/>
    <cellStyle name="SAPBEXaggItemX 3 5" xfId="45272" xr:uid="{00000000-0005-0000-0000-00006BB10000}"/>
    <cellStyle name="SAPBEXaggItemX 3 5 2" xfId="45273" xr:uid="{00000000-0005-0000-0000-00006CB10000}"/>
    <cellStyle name="SAPBEXaggItemX 3 5 2 2" xfId="45274" xr:uid="{00000000-0005-0000-0000-00006DB10000}"/>
    <cellStyle name="SAPBEXaggItemX 3 5 3" xfId="45275" xr:uid="{00000000-0005-0000-0000-00006EB10000}"/>
    <cellStyle name="SAPBEXaggItemX 3 6" xfId="45276" xr:uid="{00000000-0005-0000-0000-00006FB10000}"/>
    <cellStyle name="SAPBEXaggItemX 3 6 2" xfId="45277" xr:uid="{00000000-0005-0000-0000-000070B10000}"/>
    <cellStyle name="SAPBEXaggItemX 3 7" xfId="45278" xr:uid="{00000000-0005-0000-0000-000071B10000}"/>
    <cellStyle name="SAPBEXaggItemX 4" xfId="45279" xr:uid="{00000000-0005-0000-0000-000072B10000}"/>
    <cellStyle name="SAPBEXaggItemX 4 2" xfId="45280" xr:uid="{00000000-0005-0000-0000-000073B10000}"/>
    <cellStyle name="SAPBEXaggItemX 4 2 2" xfId="45281" xr:uid="{00000000-0005-0000-0000-000074B10000}"/>
    <cellStyle name="SAPBEXaggItemX 4 2 2 2" xfId="45282" xr:uid="{00000000-0005-0000-0000-000075B10000}"/>
    <cellStyle name="SAPBEXaggItemX 4 2 2 2 2" xfId="45283" xr:uid="{00000000-0005-0000-0000-000076B10000}"/>
    <cellStyle name="SAPBEXaggItemX 4 2 2 3" xfId="45284" xr:uid="{00000000-0005-0000-0000-000077B10000}"/>
    <cellStyle name="SAPBEXaggItemX 4 2 3" xfId="45285" xr:uid="{00000000-0005-0000-0000-000078B10000}"/>
    <cellStyle name="SAPBEXaggItemX 4 2 3 2" xfId="45286" xr:uid="{00000000-0005-0000-0000-000079B10000}"/>
    <cellStyle name="SAPBEXaggItemX 4 2 3 2 2" xfId="45287" xr:uid="{00000000-0005-0000-0000-00007AB10000}"/>
    <cellStyle name="SAPBEXaggItemX 4 2 3 3" xfId="45288" xr:uid="{00000000-0005-0000-0000-00007BB10000}"/>
    <cellStyle name="SAPBEXaggItemX 4 2 4" xfId="45289" xr:uid="{00000000-0005-0000-0000-00007CB10000}"/>
    <cellStyle name="SAPBEXaggItemX 4 2 4 2" xfId="45290" xr:uid="{00000000-0005-0000-0000-00007DB10000}"/>
    <cellStyle name="SAPBEXaggItemX 4 2 4 2 2" xfId="45291" xr:uid="{00000000-0005-0000-0000-00007EB10000}"/>
    <cellStyle name="SAPBEXaggItemX 4 2 4 3" xfId="45292" xr:uid="{00000000-0005-0000-0000-00007FB10000}"/>
    <cellStyle name="SAPBEXaggItemX 4 2 5" xfId="45293" xr:uid="{00000000-0005-0000-0000-000080B10000}"/>
    <cellStyle name="SAPBEXaggItemX 4 2 5 2" xfId="45294" xr:uid="{00000000-0005-0000-0000-000081B10000}"/>
    <cellStyle name="SAPBEXaggItemX 4 2 6" xfId="45295" xr:uid="{00000000-0005-0000-0000-000082B10000}"/>
    <cellStyle name="SAPBEXaggItemX 4 3" xfId="45296" xr:uid="{00000000-0005-0000-0000-000083B10000}"/>
    <cellStyle name="SAPBEXaggItemX 4 3 2" xfId="45297" xr:uid="{00000000-0005-0000-0000-000084B10000}"/>
    <cellStyle name="SAPBEXaggItemX 4 3 2 2" xfId="45298" xr:uid="{00000000-0005-0000-0000-000085B10000}"/>
    <cellStyle name="SAPBEXaggItemX 4 3 2 2 2" xfId="45299" xr:uid="{00000000-0005-0000-0000-000086B10000}"/>
    <cellStyle name="SAPBEXaggItemX 4 3 2 2 2 2" xfId="45300" xr:uid="{00000000-0005-0000-0000-000087B10000}"/>
    <cellStyle name="SAPBEXaggItemX 4 3 2 2 3" xfId="45301" xr:uid="{00000000-0005-0000-0000-000088B10000}"/>
    <cellStyle name="SAPBEXaggItemX 4 3 2 3" xfId="45302" xr:uid="{00000000-0005-0000-0000-000089B10000}"/>
    <cellStyle name="SAPBEXaggItemX 4 3 2 3 2" xfId="45303" xr:uid="{00000000-0005-0000-0000-00008AB10000}"/>
    <cellStyle name="SAPBEXaggItemX 4 3 2 3 2 2" xfId="45304" xr:uid="{00000000-0005-0000-0000-00008BB10000}"/>
    <cellStyle name="SAPBEXaggItemX 4 3 2 3 3" xfId="45305" xr:uid="{00000000-0005-0000-0000-00008CB10000}"/>
    <cellStyle name="SAPBEXaggItemX 4 3 2 4" xfId="45306" xr:uid="{00000000-0005-0000-0000-00008DB10000}"/>
    <cellStyle name="SAPBEXaggItemX 4 3 2 4 2" xfId="45307" xr:uid="{00000000-0005-0000-0000-00008EB10000}"/>
    <cellStyle name="SAPBEXaggItemX 4 3 2 5" xfId="45308" xr:uid="{00000000-0005-0000-0000-00008FB10000}"/>
    <cellStyle name="SAPBEXaggItemX 4 3 3" xfId="45309" xr:uid="{00000000-0005-0000-0000-000090B10000}"/>
    <cellStyle name="SAPBEXaggItemX 4 3 3 2" xfId="45310" xr:uid="{00000000-0005-0000-0000-000091B10000}"/>
    <cellStyle name="SAPBEXaggItemX 4 3 3 2 2" xfId="45311" xr:uid="{00000000-0005-0000-0000-000092B10000}"/>
    <cellStyle name="SAPBEXaggItemX 4 3 3 2 2 2" xfId="45312" xr:uid="{00000000-0005-0000-0000-000093B10000}"/>
    <cellStyle name="SAPBEXaggItemX 4 3 3 2 3" xfId="45313" xr:uid="{00000000-0005-0000-0000-000094B10000}"/>
    <cellStyle name="SAPBEXaggItemX 4 3 3 3" xfId="45314" xr:uid="{00000000-0005-0000-0000-000095B10000}"/>
    <cellStyle name="SAPBEXaggItemX 4 3 3 3 2" xfId="45315" xr:uid="{00000000-0005-0000-0000-000096B10000}"/>
    <cellStyle name="SAPBEXaggItemX 4 3 3 4" xfId="45316" xr:uid="{00000000-0005-0000-0000-000097B10000}"/>
    <cellStyle name="SAPBEXaggItemX 4 3 4" xfId="45317" xr:uid="{00000000-0005-0000-0000-000098B10000}"/>
    <cellStyle name="SAPBEXaggItemX 4 3 4 2" xfId="45318" xr:uid="{00000000-0005-0000-0000-000099B10000}"/>
    <cellStyle name="SAPBEXaggItemX 4 3 4 2 2" xfId="45319" xr:uid="{00000000-0005-0000-0000-00009AB10000}"/>
    <cellStyle name="SAPBEXaggItemX 4 3 4 3" xfId="45320" xr:uid="{00000000-0005-0000-0000-00009BB10000}"/>
    <cellStyle name="SAPBEXaggItemX 4 3 5" xfId="45321" xr:uid="{00000000-0005-0000-0000-00009CB10000}"/>
    <cellStyle name="SAPBEXaggItemX 4 3 5 2" xfId="45322" xr:uid="{00000000-0005-0000-0000-00009DB10000}"/>
    <cellStyle name="SAPBEXaggItemX 4 3 5 2 2" xfId="45323" xr:uid="{00000000-0005-0000-0000-00009EB10000}"/>
    <cellStyle name="SAPBEXaggItemX 4 3 5 3" xfId="45324" xr:uid="{00000000-0005-0000-0000-00009FB10000}"/>
    <cellStyle name="SAPBEXaggItemX 4 3 6" xfId="45325" xr:uid="{00000000-0005-0000-0000-0000A0B10000}"/>
    <cellStyle name="SAPBEXaggItemX 4 3 6 2" xfId="45326" xr:uid="{00000000-0005-0000-0000-0000A1B10000}"/>
    <cellStyle name="SAPBEXaggItemX 4 3 7" xfId="45327" xr:uid="{00000000-0005-0000-0000-0000A2B10000}"/>
    <cellStyle name="SAPBEXaggItemX 4 4" xfId="45328" xr:uid="{00000000-0005-0000-0000-0000A3B10000}"/>
    <cellStyle name="SAPBEXaggItemX 4 4 2" xfId="45329" xr:uid="{00000000-0005-0000-0000-0000A4B10000}"/>
    <cellStyle name="SAPBEXaggItemX 4 4 2 2" xfId="45330" xr:uid="{00000000-0005-0000-0000-0000A5B10000}"/>
    <cellStyle name="SAPBEXaggItemX 4 4 2 2 2" xfId="45331" xr:uid="{00000000-0005-0000-0000-0000A6B10000}"/>
    <cellStyle name="SAPBEXaggItemX 4 4 2 3" xfId="45332" xr:uid="{00000000-0005-0000-0000-0000A7B10000}"/>
    <cellStyle name="SAPBEXaggItemX 4 4 3" xfId="45333" xr:uid="{00000000-0005-0000-0000-0000A8B10000}"/>
    <cellStyle name="SAPBEXaggItemX 4 4 3 2" xfId="45334" xr:uid="{00000000-0005-0000-0000-0000A9B10000}"/>
    <cellStyle name="SAPBEXaggItemX 4 4 4" xfId="45335" xr:uid="{00000000-0005-0000-0000-0000AAB10000}"/>
    <cellStyle name="SAPBEXaggItemX 4 5" xfId="45336" xr:uid="{00000000-0005-0000-0000-0000ABB10000}"/>
    <cellStyle name="SAPBEXaggItemX 4 5 2" xfId="45337" xr:uid="{00000000-0005-0000-0000-0000ACB10000}"/>
    <cellStyle name="SAPBEXaggItemX 4 5 2 2" xfId="45338" xr:uid="{00000000-0005-0000-0000-0000ADB10000}"/>
    <cellStyle name="SAPBEXaggItemX 4 5 3" xfId="45339" xr:uid="{00000000-0005-0000-0000-0000AEB10000}"/>
    <cellStyle name="SAPBEXaggItemX 4 6" xfId="45340" xr:uid="{00000000-0005-0000-0000-0000AFB10000}"/>
    <cellStyle name="SAPBEXaggItemX 4 6 2" xfId="45341" xr:uid="{00000000-0005-0000-0000-0000B0B10000}"/>
    <cellStyle name="SAPBEXaggItemX 4 6 2 2" xfId="45342" xr:uid="{00000000-0005-0000-0000-0000B1B10000}"/>
    <cellStyle name="SAPBEXaggItemX 4 6 3" xfId="45343" xr:uid="{00000000-0005-0000-0000-0000B2B10000}"/>
    <cellStyle name="SAPBEXaggItemX 4 7" xfId="45344" xr:uid="{00000000-0005-0000-0000-0000B3B10000}"/>
    <cellStyle name="SAPBEXaggItemX 4 7 2" xfId="45345" xr:uid="{00000000-0005-0000-0000-0000B4B10000}"/>
    <cellStyle name="SAPBEXaggItemX 4 8" xfId="45346" xr:uid="{00000000-0005-0000-0000-0000B5B10000}"/>
    <cellStyle name="SAPBEXaggItemX 5" xfId="45347" xr:uid="{00000000-0005-0000-0000-0000B6B10000}"/>
    <cellStyle name="SAPBEXaggItemX 5 2" xfId="45348" xr:uid="{00000000-0005-0000-0000-0000B7B10000}"/>
    <cellStyle name="SAPBEXaggItemX 5 2 2" xfId="45349" xr:uid="{00000000-0005-0000-0000-0000B8B10000}"/>
    <cellStyle name="SAPBEXaggItemX 5 2 2 2" xfId="45350" xr:uid="{00000000-0005-0000-0000-0000B9B10000}"/>
    <cellStyle name="SAPBEXaggItemX 5 2 3" xfId="45351" xr:uid="{00000000-0005-0000-0000-0000BAB10000}"/>
    <cellStyle name="SAPBEXaggItemX 5 3" xfId="45352" xr:uid="{00000000-0005-0000-0000-0000BBB10000}"/>
    <cellStyle name="SAPBEXaggItemX 5 3 2" xfId="45353" xr:uid="{00000000-0005-0000-0000-0000BCB10000}"/>
    <cellStyle name="SAPBEXaggItemX 5 3 2 2" xfId="45354" xr:uid="{00000000-0005-0000-0000-0000BDB10000}"/>
    <cellStyle name="SAPBEXaggItemX 5 3 3" xfId="45355" xr:uid="{00000000-0005-0000-0000-0000BEB10000}"/>
    <cellStyle name="SAPBEXaggItemX 5 4" xfId="45356" xr:uid="{00000000-0005-0000-0000-0000BFB10000}"/>
    <cellStyle name="SAPBEXaggItemX 5 4 2" xfId="45357" xr:uid="{00000000-0005-0000-0000-0000C0B10000}"/>
    <cellStyle name="SAPBEXaggItemX 5 4 2 2" xfId="45358" xr:uid="{00000000-0005-0000-0000-0000C1B10000}"/>
    <cellStyle name="SAPBEXaggItemX 5 4 3" xfId="45359" xr:uid="{00000000-0005-0000-0000-0000C2B10000}"/>
    <cellStyle name="SAPBEXaggItemX 5 5" xfId="45360" xr:uid="{00000000-0005-0000-0000-0000C3B10000}"/>
    <cellStyle name="SAPBEXaggItemX 5 5 2" xfId="45361" xr:uid="{00000000-0005-0000-0000-0000C4B10000}"/>
    <cellStyle name="SAPBEXaggItemX 5 6" xfId="45362" xr:uid="{00000000-0005-0000-0000-0000C5B10000}"/>
    <cellStyle name="SAPBEXaggItemX 6" xfId="45363" xr:uid="{00000000-0005-0000-0000-0000C6B10000}"/>
    <cellStyle name="SAPBEXaggItemX 6 2" xfId="45364" xr:uid="{00000000-0005-0000-0000-0000C7B10000}"/>
    <cellStyle name="SAPBEXaggItemX 6 2 2" xfId="45365" xr:uid="{00000000-0005-0000-0000-0000C8B10000}"/>
    <cellStyle name="SAPBEXaggItemX 6 3" xfId="45366" xr:uid="{00000000-0005-0000-0000-0000C9B10000}"/>
    <cellStyle name="SAPBEXaggItemX 6 3 2" xfId="45367" xr:uid="{00000000-0005-0000-0000-0000CAB10000}"/>
    <cellStyle name="SAPBEXaggItemX 6 3 2 2" xfId="45368" xr:uid="{00000000-0005-0000-0000-0000CBB10000}"/>
    <cellStyle name="SAPBEXaggItemX 6 3 3" xfId="45369" xr:uid="{00000000-0005-0000-0000-0000CCB10000}"/>
    <cellStyle name="SAPBEXaggItemX 6 4" xfId="45370" xr:uid="{00000000-0005-0000-0000-0000CDB10000}"/>
    <cellStyle name="SAPBEXaggItemX 6 4 2" xfId="45371" xr:uid="{00000000-0005-0000-0000-0000CEB10000}"/>
    <cellStyle name="SAPBEXaggItemX 6 4 2 2" xfId="45372" xr:uid="{00000000-0005-0000-0000-0000CFB10000}"/>
    <cellStyle name="SAPBEXaggItemX 6 4 3" xfId="45373" xr:uid="{00000000-0005-0000-0000-0000D0B10000}"/>
    <cellStyle name="SAPBEXaggItemX 6 5" xfId="45374" xr:uid="{00000000-0005-0000-0000-0000D1B10000}"/>
    <cellStyle name="SAPBEXaggItemX 7" xfId="45375" xr:uid="{00000000-0005-0000-0000-0000D2B10000}"/>
    <cellStyle name="SAPBEXaggItemX 7 2" xfId="45376" xr:uid="{00000000-0005-0000-0000-0000D3B10000}"/>
    <cellStyle name="SAPBEXaggItemX 7 2 2" xfId="45377" xr:uid="{00000000-0005-0000-0000-0000D4B10000}"/>
    <cellStyle name="SAPBEXaggItemX 7 2 2 2" xfId="45378" xr:uid="{00000000-0005-0000-0000-0000D5B10000}"/>
    <cellStyle name="SAPBEXaggItemX 7 2 3" xfId="45379" xr:uid="{00000000-0005-0000-0000-0000D6B10000}"/>
    <cellStyle name="SAPBEXaggItemX 7 2 3 2" xfId="45380" xr:uid="{00000000-0005-0000-0000-0000D7B10000}"/>
    <cellStyle name="SAPBEXaggItemX 7 2 3 2 2" xfId="45381" xr:uid="{00000000-0005-0000-0000-0000D8B10000}"/>
    <cellStyle name="SAPBEXaggItemX 7 2 3 3" xfId="45382" xr:uid="{00000000-0005-0000-0000-0000D9B10000}"/>
    <cellStyle name="SAPBEXaggItemX 7 2 4" xfId="45383" xr:uid="{00000000-0005-0000-0000-0000DAB10000}"/>
    <cellStyle name="SAPBEXaggItemX 7 3" xfId="45384" xr:uid="{00000000-0005-0000-0000-0000DBB10000}"/>
    <cellStyle name="SAPBEXaggItemX 7 3 2" xfId="45385" xr:uid="{00000000-0005-0000-0000-0000DCB10000}"/>
    <cellStyle name="SAPBEXaggItemX 7 3 2 2" xfId="45386" xr:uid="{00000000-0005-0000-0000-0000DDB10000}"/>
    <cellStyle name="SAPBEXaggItemX 7 3 3" xfId="45387" xr:uid="{00000000-0005-0000-0000-0000DEB10000}"/>
    <cellStyle name="SAPBEXaggItemX 7 4" xfId="45388" xr:uid="{00000000-0005-0000-0000-0000DFB10000}"/>
    <cellStyle name="SAPBEXaggItemX 7 4 2" xfId="45389" xr:uid="{00000000-0005-0000-0000-0000E0B10000}"/>
    <cellStyle name="SAPBEXaggItemX 7 4 2 2" xfId="45390" xr:uid="{00000000-0005-0000-0000-0000E1B10000}"/>
    <cellStyle name="SAPBEXaggItemX 7 4 3" xfId="45391" xr:uid="{00000000-0005-0000-0000-0000E2B10000}"/>
    <cellStyle name="SAPBEXaggItemX 7 5" xfId="45392" xr:uid="{00000000-0005-0000-0000-0000E3B10000}"/>
    <cellStyle name="SAPBEXaggItemX 7 5 2" xfId="45393" xr:uid="{00000000-0005-0000-0000-0000E4B10000}"/>
    <cellStyle name="SAPBEXaggItemX 7 5 2 2" xfId="45394" xr:uid="{00000000-0005-0000-0000-0000E5B10000}"/>
    <cellStyle name="SAPBEXaggItemX 7 5 3" xfId="45395" xr:uid="{00000000-0005-0000-0000-0000E6B10000}"/>
    <cellStyle name="SAPBEXaggItemX 7 6" xfId="45396" xr:uid="{00000000-0005-0000-0000-0000E7B10000}"/>
    <cellStyle name="SAPBEXaggItemX 8" xfId="45397" xr:uid="{00000000-0005-0000-0000-0000E8B10000}"/>
    <cellStyle name="SAPBEXaggItemX 8 2" xfId="45398" xr:uid="{00000000-0005-0000-0000-0000E9B10000}"/>
    <cellStyle name="SAPBEXaggItemX 8 2 2" xfId="45399" xr:uid="{00000000-0005-0000-0000-0000EAB10000}"/>
    <cellStyle name="SAPBEXaggItemX 8 3" xfId="45400" xr:uid="{00000000-0005-0000-0000-0000EBB10000}"/>
    <cellStyle name="SAPBEXaggItemX 9" xfId="45401" xr:uid="{00000000-0005-0000-0000-0000ECB10000}"/>
    <cellStyle name="SAPBEXaggItemX 9 2" xfId="45402" xr:uid="{00000000-0005-0000-0000-0000EDB10000}"/>
    <cellStyle name="SAPBEXaggItemX 9 2 2" xfId="45403" xr:uid="{00000000-0005-0000-0000-0000EEB10000}"/>
    <cellStyle name="SAPBEXaggItemX 9 3" xfId="45404" xr:uid="{00000000-0005-0000-0000-0000EFB10000}"/>
    <cellStyle name="SAPBEXchaText" xfId="44" xr:uid="{00000000-0005-0000-0000-0000F0B10000}"/>
    <cellStyle name="SAPBEXchaText 2" xfId="45405" xr:uid="{00000000-0005-0000-0000-0000F1B10000}"/>
    <cellStyle name="SAPBEXchaText 2 2" xfId="45406" xr:uid="{00000000-0005-0000-0000-0000F2B10000}"/>
    <cellStyle name="SAPBEXchaText 2 3" xfId="45407" xr:uid="{00000000-0005-0000-0000-0000F3B10000}"/>
    <cellStyle name="SAPBEXchaText 2 3 2" xfId="45408" xr:uid="{00000000-0005-0000-0000-0000F4B10000}"/>
    <cellStyle name="SAPBEXchaText 2 3 2 2" xfId="45409" xr:uid="{00000000-0005-0000-0000-0000F5B10000}"/>
    <cellStyle name="SAPBEXchaText 2 3 3" xfId="45410" xr:uid="{00000000-0005-0000-0000-0000F6B10000}"/>
    <cellStyle name="SAPBEXchaText 2 4" xfId="45411" xr:uid="{00000000-0005-0000-0000-0000F7B10000}"/>
    <cellStyle name="SAPBEXchaText 2 4 2" xfId="45412" xr:uid="{00000000-0005-0000-0000-0000F8B10000}"/>
    <cellStyle name="SAPBEXchaText 2 4 2 2" xfId="45413" xr:uid="{00000000-0005-0000-0000-0000F9B10000}"/>
    <cellStyle name="SAPBEXchaText 2 4 3" xfId="45414" xr:uid="{00000000-0005-0000-0000-0000FAB10000}"/>
    <cellStyle name="SAPBEXchaText 2 5" xfId="45415" xr:uid="{00000000-0005-0000-0000-0000FBB10000}"/>
    <cellStyle name="SAPBEXchaText 2 5 2" xfId="45416" xr:uid="{00000000-0005-0000-0000-0000FCB10000}"/>
    <cellStyle name="SAPBEXchaText 2 5 2 2" xfId="45417" xr:uid="{00000000-0005-0000-0000-0000FDB10000}"/>
    <cellStyle name="SAPBEXchaText 2 5 2 2 2" xfId="45418" xr:uid="{00000000-0005-0000-0000-0000FEB10000}"/>
    <cellStyle name="SAPBEXchaText 2 5 2 3" xfId="45419" xr:uid="{00000000-0005-0000-0000-0000FFB10000}"/>
    <cellStyle name="SAPBEXchaText 2 5 3" xfId="45420" xr:uid="{00000000-0005-0000-0000-000000B20000}"/>
    <cellStyle name="SAPBEXchaText 2 5 3 2" xfId="45421" xr:uid="{00000000-0005-0000-0000-000001B20000}"/>
    <cellStyle name="SAPBEXchaText 2 5 4" xfId="45422" xr:uid="{00000000-0005-0000-0000-000002B20000}"/>
    <cellStyle name="SAPBEXchaText 3" xfId="45423" xr:uid="{00000000-0005-0000-0000-000003B20000}"/>
    <cellStyle name="SAPBEXchaText 3 2" xfId="45424" xr:uid="{00000000-0005-0000-0000-000004B20000}"/>
    <cellStyle name="SAPBEXchaText 3 2 2" xfId="45425" xr:uid="{00000000-0005-0000-0000-000005B20000}"/>
    <cellStyle name="SAPBEXchaText 3 2 2 2" xfId="45426" xr:uid="{00000000-0005-0000-0000-000006B20000}"/>
    <cellStyle name="SAPBEXchaText 3 2 3" xfId="45427" xr:uid="{00000000-0005-0000-0000-000007B20000}"/>
    <cellStyle name="SAPBEXchaText 3 3" xfId="45428" xr:uid="{00000000-0005-0000-0000-000008B20000}"/>
    <cellStyle name="SAPBEXchaText 3 3 2" xfId="45429" xr:uid="{00000000-0005-0000-0000-000009B20000}"/>
    <cellStyle name="SAPBEXchaText 3 4" xfId="45430" xr:uid="{00000000-0005-0000-0000-00000AB20000}"/>
    <cellStyle name="SAPBEXchaText 4" xfId="45431" xr:uid="{00000000-0005-0000-0000-00000BB20000}"/>
    <cellStyle name="SAPBEXchaText 4 2" xfId="45432" xr:uid="{00000000-0005-0000-0000-00000CB20000}"/>
    <cellStyle name="SAPBEXchaText 4 2 2" xfId="45433" xr:uid="{00000000-0005-0000-0000-00000DB20000}"/>
    <cellStyle name="SAPBEXchaText 4 3" xfId="45434" xr:uid="{00000000-0005-0000-0000-00000EB20000}"/>
    <cellStyle name="SAPBEXchaText 5" xfId="45435" xr:uid="{00000000-0005-0000-0000-00000FB20000}"/>
    <cellStyle name="SAPBEXchaText 5 2" xfId="45436" xr:uid="{00000000-0005-0000-0000-000010B20000}"/>
    <cellStyle name="SAPBEXchaText 5 2 2" xfId="45437" xr:uid="{00000000-0005-0000-0000-000011B20000}"/>
    <cellStyle name="SAPBEXchaText 5 3" xfId="45438" xr:uid="{00000000-0005-0000-0000-000012B20000}"/>
    <cellStyle name="SAPBEXchaText 6" xfId="45439" xr:uid="{00000000-0005-0000-0000-000013B20000}"/>
    <cellStyle name="SAPBEXchaText 6 2" xfId="45440" xr:uid="{00000000-0005-0000-0000-000014B20000}"/>
    <cellStyle name="SAPBEXchaText 6 2 2" xfId="45441" xr:uid="{00000000-0005-0000-0000-000015B20000}"/>
    <cellStyle name="SAPBEXchaText 6 3" xfId="45442" xr:uid="{00000000-0005-0000-0000-000016B20000}"/>
    <cellStyle name="SAPBEXchaText 7" xfId="45443" xr:uid="{00000000-0005-0000-0000-000017B20000}"/>
    <cellStyle name="SAPBEXchaText 7 2" xfId="45444" xr:uid="{00000000-0005-0000-0000-000018B20000}"/>
    <cellStyle name="SAPBEXchaText 8" xfId="45445" xr:uid="{00000000-0005-0000-0000-000019B20000}"/>
    <cellStyle name="SAPBEXchaText 8 2" xfId="45446" xr:uid="{00000000-0005-0000-0000-00001AB20000}"/>
    <cellStyle name="SAPBEXchaText 9" xfId="45447" xr:uid="{00000000-0005-0000-0000-00001BB20000}"/>
    <cellStyle name="SAPBEXchaText_2010-2019 IP Run March 9, 2010" xfId="45448" xr:uid="{00000000-0005-0000-0000-00001CB20000}"/>
    <cellStyle name="SAPBEXexcBad7" xfId="45" xr:uid="{00000000-0005-0000-0000-00001DB20000}"/>
    <cellStyle name="SAPBEXexcBad7 10" xfId="45449" xr:uid="{00000000-0005-0000-0000-00001EB20000}"/>
    <cellStyle name="SAPBEXexcBad7 10 2" xfId="45450" xr:uid="{00000000-0005-0000-0000-00001FB20000}"/>
    <cellStyle name="SAPBEXexcBad7 11" xfId="45451" xr:uid="{00000000-0005-0000-0000-000020B20000}"/>
    <cellStyle name="SAPBEXexcBad7 11 2" xfId="45452" xr:uid="{00000000-0005-0000-0000-000021B20000}"/>
    <cellStyle name="SAPBEXexcBad7 12" xfId="45453" xr:uid="{00000000-0005-0000-0000-000022B20000}"/>
    <cellStyle name="SAPBEXexcBad7 12 2" xfId="45454" xr:uid="{00000000-0005-0000-0000-000023B20000}"/>
    <cellStyle name="SAPBEXexcBad7 13" xfId="45455" xr:uid="{00000000-0005-0000-0000-000024B20000}"/>
    <cellStyle name="SAPBEXexcBad7 14" xfId="45456" xr:uid="{00000000-0005-0000-0000-000025B20000}"/>
    <cellStyle name="SAPBEXexcBad7 2" xfId="45457" xr:uid="{00000000-0005-0000-0000-000026B20000}"/>
    <cellStyle name="SAPBEXexcBad7 2 2" xfId="45458" xr:uid="{00000000-0005-0000-0000-000027B20000}"/>
    <cellStyle name="SAPBEXexcBad7 2 2 2" xfId="45459" xr:uid="{00000000-0005-0000-0000-000028B20000}"/>
    <cellStyle name="SAPBEXexcBad7 2 2 2 2" xfId="45460" xr:uid="{00000000-0005-0000-0000-000029B20000}"/>
    <cellStyle name="SAPBEXexcBad7 2 2 2 2 2" xfId="45461" xr:uid="{00000000-0005-0000-0000-00002AB20000}"/>
    <cellStyle name="SAPBEXexcBad7 2 2 2 2 2 2" xfId="45462" xr:uid="{00000000-0005-0000-0000-00002BB20000}"/>
    <cellStyle name="SAPBEXexcBad7 2 2 2 2 3" xfId="45463" xr:uid="{00000000-0005-0000-0000-00002CB20000}"/>
    <cellStyle name="SAPBEXexcBad7 2 2 2 3" xfId="45464" xr:uid="{00000000-0005-0000-0000-00002DB20000}"/>
    <cellStyle name="SAPBEXexcBad7 2 2 2 3 2" xfId="45465" xr:uid="{00000000-0005-0000-0000-00002EB20000}"/>
    <cellStyle name="SAPBEXexcBad7 2 2 2 4" xfId="45466" xr:uid="{00000000-0005-0000-0000-00002FB20000}"/>
    <cellStyle name="SAPBEXexcBad7 2 2 3" xfId="45467" xr:uid="{00000000-0005-0000-0000-000030B20000}"/>
    <cellStyle name="SAPBEXexcBad7 2 2 3 2" xfId="45468" xr:uid="{00000000-0005-0000-0000-000031B20000}"/>
    <cellStyle name="SAPBEXexcBad7 2 2 3 2 2" xfId="45469" xr:uid="{00000000-0005-0000-0000-000032B20000}"/>
    <cellStyle name="SAPBEXexcBad7 2 2 3 3" xfId="45470" xr:uid="{00000000-0005-0000-0000-000033B20000}"/>
    <cellStyle name="SAPBEXexcBad7 2 2 4" xfId="45471" xr:uid="{00000000-0005-0000-0000-000034B20000}"/>
    <cellStyle name="SAPBEXexcBad7 2 2 4 2" xfId="45472" xr:uid="{00000000-0005-0000-0000-000035B20000}"/>
    <cellStyle name="SAPBEXexcBad7 2 2 4 2 2" xfId="45473" xr:uid="{00000000-0005-0000-0000-000036B20000}"/>
    <cellStyle name="SAPBEXexcBad7 2 2 4 3" xfId="45474" xr:uid="{00000000-0005-0000-0000-000037B20000}"/>
    <cellStyle name="SAPBEXexcBad7 2 2 5" xfId="45475" xr:uid="{00000000-0005-0000-0000-000038B20000}"/>
    <cellStyle name="SAPBEXexcBad7 2 2 5 2" xfId="45476" xr:uid="{00000000-0005-0000-0000-000039B20000}"/>
    <cellStyle name="SAPBEXexcBad7 2 2 6" xfId="45477" xr:uid="{00000000-0005-0000-0000-00003AB20000}"/>
    <cellStyle name="SAPBEXexcBad7 2 3" xfId="45478" xr:uid="{00000000-0005-0000-0000-00003BB20000}"/>
    <cellStyle name="SAPBEXexcBad7 2 3 2" xfId="45479" xr:uid="{00000000-0005-0000-0000-00003CB20000}"/>
    <cellStyle name="SAPBEXexcBad7 2 3 2 2" xfId="45480" xr:uid="{00000000-0005-0000-0000-00003DB20000}"/>
    <cellStyle name="SAPBEXexcBad7 2 3 3" xfId="45481" xr:uid="{00000000-0005-0000-0000-00003EB20000}"/>
    <cellStyle name="SAPBEXexcBad7 2 4" xfId="45482" xr:uid="{00000000-0005-0000-0000-00003FB20000}"/>
    <cellStyle name="SAPBEXexcBad7 2 4 2" xfId="45483" xr:uid="{00000000-0005-0000-0000-000040B20000}"/>
    <cellStyle name="SAPBEXexcBad7 2 4 2 2" xfId="45484" xr:uid="{00000000-0005-0000-0000-000041B20000}"/>
    <cellStyle name="SAPBEXexcBad7 2 4 3" xfId="45485" xr:uid="{00000000-0005-0000-0000-000042B20000}"/>
    <cellStyle name="SAPBEXexcBad7 2 5" xfId="45486" xr:uid="{00000000-0005-0000-0000-000043B20000}"/>
    <cellStyle name="SAPBEXexcBad7 2 5 2" xfId="45487" xr:uid="{00000000-0005-0000-0000-000044B20000}"/>
    <cellStyle name="SAPBEXexcBad7 2 5 2 2" xfId="45488" xr:uid="{00000000-0005-0000-0000-000045B20000}"/>
    <cellStyle name="SAPBEXexcBad7 2 5 3" xfId="45489" xr:uid="{00000000-0005-0000-0000-000046B20000}"/>
    <cellStyle name="SAPBEXexcBad7 2 6" xfId="45490" xr:uid="{00000000-0005-0000-0000-000047B20000}"/>
    <cellStyle name="SAPBEXexcBad7 2 6 2" xfId="45491" xr:uid="{00000000-0005-0000-0000-000048B20000}"/>
    <cellStyle name="SAPBEXexcBad7 2 7" xfId="45492" xr:uid="{00000000-0005-0000-0000-000049B20000}"/>
    <cellStyle name="SAPBEXexcBad7 3" xfId="45493" xr:uid="{00000000-0005-0000-0000-00004AB20000}"/>
    <cellStyle name="SAPBEXexcBad7 3 2" xfId="45494" xr:uid="{00000000-0005-0000-0000-00004BB20000}"/>
    <cellStyle name="SAPBEXexcBad7 3 2 2" xfId="45495" xr:uid="{00000000-0005-0000-0000-00004CB20000}"/>
    <cellStyle name="SAPBEXexcBad7 3 3" xfId="45496" xr:uid="{00000000-0005-0000-0000-00004DB20000}"/>
    <cellStyle name="SAPBEXexcBad7 3 3 2" xfId="45497" xr:uid="{00000000-0005-0000-0000-00004EB20000}"/>
    <cellStyle name="SAPBEXexcBad7 3 3 2 2" xfId="45498" xr:uid="{00000000-0005-0000-0000-00004FB20000}"/>
    <cellStyle name="SAPBEXexcBad7 3 3 3" xfId="45499" xr:uid="{00000000-0005-0000-0000-000050B20000}"/>
    <cellStyle name="SAPBEXexcBad7 3 4" xfId="45500" xr:uid="{00000000-0005-0000-0000-000051B20000}"/>
    <cellStyle name="SAPBEXexcBad7 3 4 2" xfId="45501" xr:uid="{00000000-0005-0000-0000-000052B20000}"/>
    <cellStyle name="SAPBEXexcBad7 3 4 2 2" xfId="45502" xr:uid="{00000000-0005-0000-0000-000053B20000}"/>
    <cellStyle name="SAPBEXexcBad7 3 4 3" xfId="45503" xr:uid="{00000000-0005-0000-0000-000054B20000}"/>
    <cellStyle name="SAPBEXexcBad7 3 5" xfId="45504" xr:uid="{00000000-0005-0000-0000-000055B20000}"/>
    <cellStyle name="SAPBEXexcBad7 4" xfId="45505" xr:uid="{00000000-0005-0000-0000-000056B20000}"/>
    <cellStyle name="SAPBEXexcBad7 4 2" xfId="45506" xr:uid="{00000000-0005-0000-0000-000057B20000}"/>
    <cellStyle name="SAPBEXexcBad7 4 2 2" xfId="45507" xr:uid="{00000000-0005-0000-0000-000058B20000}"/>
    <cellStyle name="SAPBEXexcBad7 4 2 2 2" xfId="45508" xr:uid="{00000000-0005-0000-0000-000059B20000}"/>
    <cellStyle name="SAPBEXexcBad7 4 2 3" xfId="45509" xr:uid="{00000000-0005-0000-0000-00005AB20000}"/>
    <cellStyle name="SAPBEXexcBad7 4 2 3 2" xfId="45510" xr:uid="{00000000-0005-0000-0000-00005BB20000}"/>
    <cellStyle name="SAPBEXexcBad7 4 2 3 2 2" xfId="45511" xr:uid="{00000000-0005-0000-0000-00005CB20000}"/>
    <cellStyle name="SAPBEXexcBad7 4 2 3 3" xfId="45512" xr:uid="{00000000-0005-0000-0000-00005DB20000}"/>
    <cellStyle name="SAPBEXexcBad7 4 2 4" xfId="45513" xr:uid="{00000000-0005-0000-0000-00005EB20000}"/>
    <cellStyle name="SAPBEXexcBad7 4 3" xfId="45514" xr:uid="{00000000-0005-0000-0000-00005FB20000}"/>
    <cellStyle name="SAPBEXexcBad7 4 3 2" xfId="45515" xr:uid="{00000000-0005-0000-0000-000060B20000}"/>
    <cellStyle name="SAPBEXexcBad7 4 3 2 2" xfId="45516" xr:uid="{00000000-0005-0000-0000-000061B20000}"/>
    <cellStyle name="SAPBEXexcBad7 4 3 3" xfId="45517" xr:uid="{00000000-0005-0000-0000-000062B20000}"/>
    <cellStyle name="SAPBEXexcBad7 4 4" xfId="45518" xr:uid="{00000000-0005-0000-0000-000063B20000}"/>
    <cellStyle name="SAPBEXexcBad7 4 4 2" xfId="45519" xr:uid="{00000000-0005-0000-0000-000064B20000}"/>
    <cellStyle name="SAPBEXexcBad7 4 4 2 2" xfId="45520" xr:uid="{00000000-0005-0000-0000-000065B20000}"/>
    <cellStyle name="SAPBEXexcBad7 4 4 3" xfId="45521" xr:uid="{00000000-0005-0000-0000-000066B20000}"/>
    <cellStyle name="SAPBEXexcBad7 4 5" xfId="45522" xr:uid="{00000000-0005-0000-0000-000067B20000}"/>
    <cellStyle name="SAPBEXexcBad7 4 5 2" xfId="45523" xr:uid="{00000000-0005-0000-0000-000068B20000}"/>
    <cellStyle name="SAPBEXexcBad7 4 5 2 2" xfId="45524" xr:uid="{00000000-0005-0000-0000-000069B20000}"/>
    <cellStyle name="SAPBEXexcBad7 4 5 3" xfId="45525" xr:uid="{00000000-0005-0000-0000-00006AB20000}"/>
    <cellStyle name="SAPBEXexcBad7 4 6" xfId="45526" xr:uid="{00000000-0005-0000-0000-00006BB20000}"/>
    <cellStyle name="SAPBEXexcBad7 5" xfId="45527" xr:uid="{00000000-0005-0000-0000-00006CB20000}"/>
    <cellStyle name="SAPBEXexcBad7 5 2" xfId="45528" xr:uid="{00000000-0005-0000-0000-00006DB20000}"/>
    <cellStyle name="SAPBEXexcBad7 5 2 2" xfId="45529" xr:uid="{00000000-0005-0000-0000-00006EB20000}"/>
    <cellStyle name="SAPBEXexcBad7 5 3" xfId="45530" xr:uid="{00000000-0005-0000-0000-00006FB20000}"/>
    <cellStyle name="SAPBEXexcBad7 6" xfId="45531" xr:uid="{00000000-0005-0000-0000-000070B20000}"/>
    <cellStyle name="SAPBEXexcBad7 6 2" xfId="45532" xr:uid="{00000000-0005-0000-0000-000071B20000}"/>
    <cellStyle name="SAPBEXexcBad7 6 2 2" xfId="45533" xr:uid="{00000000-0005-0000-0000-000072B20000}"/>
    <cellStyle name="SAPBEXexcBad7 6 3" xfId="45534" xr:uid="{00000000-0005-0000-0000-000073B20000}"/>
    <cellStyle name="SAPBEXexcBad7 7" xfId="45535" xr:uid="{00000000-0005-0000-0000-000074B20000}"/>
    <cellStyle name="SAPBEXexcBad7 7 2" xfId="45536" xr:uid="{00000000-0005-0000-0000-000075B20000}"/>
    <cellStyle name="SAPBEXexcBad7 7 2 2" xfId="45537" xr:uid="{00000000-0005-0000-0000-000076B20000}"/>
    <cellStyle name="SAPBEXexcBad7 7 3" xfId="45538" xr:uid="{00000000-0005-0000-0000-000077B20000}"/>
    <cellStyle name="SAPBEXexcBad7 8" xfId="45539" xr:uid="{00000000-0005-0000-0000-000078B20000}"/>
    <cellStyle name="SAPBEXexcBad7 8 2" xfId="45540" xr:uid="{00000000-0005-0000-0000-000079B20000}"/>
    <cellStyle name="SAPBEXexcBad7 9" xfId="45541" xr:uid="{00000000-0005-0000-0000-00007AB20000}"/>
    <cellStyle name="SAPBEXexcBad7 9 2" xfId="45542" xr:uid="{00000000-0005-0000-0000-00007BB20000}"/>
    <cellStyle name="SAPBEXexcBad8" xfId="46" xr:uid="{00000000-0005-0000-0000-00007CB20000}"/>
    <cellStyle name="SAPBEXexcBad8 10" xfId="45543" xr:uid="{00000000-0005-0000-0000-00007DB20000}"/>
    <cellStyle name="SAPBEXexcBad8 10 2" xfId="45544" xr:uid="{00000000-0005-0000-0000-00007EB20000}"/>
    <cellStyle name="SAPBEXexcBad8 11" xfId="45545" xr:uid="{00000000-0005-0000-0000-00007FB20000}"/>
    <cellStyle name="SAPBEXexcBad8 11 2" xfId="45546" xr:uid="{00000000-0005-0000-0000-000080B20000}"/>
    <cellStyle name="SAPBEXexcBad8 12" xfId="45547" xr:uid="{00000000-0005-0000-0000-000081B20000}"/>
    <cellStyle name="SAPBEXexcBad8 12 2" xfId="45548" xr:uid="{00000000-0005-0000-0000-000082B20000}"/>
    <cellStyle name="SAPBEXexcBad8 13" xfId="45549" xr:uid="{00000000-0005-0000-0000-000083B20000}"/>
    <cellStyle name="SAPBEXexcBad8 14" xfId="45550" xr:uid="{00000000-0005-0000-0000-000084B20000}"/>
    <cellStyle name="SAPBEXexcBad8 2" xfId="45551" xr:uid="{00000000-0005-0000-0000-000085B20000}"/>
    <cellStyle name="SAPBEXexcBad8 2 2" xfId="45552" xr:uid="{00000000-0005-0000-0000-000086B20000}"/>
    <cellStyle name="SAPBEXexcBad8 2 2 2" xfId="45553" xr:uid="{00000000-0005-0000-0000-000087B20000}"/>
    <cellStyle name="SAPBEXexcBad8 2 2 2 2" xfId="45554" xr:uid="{00000000-0005-0000-0000-000088B20000}"/>
    <cellStyle name="SAPBEXexcBad8 2 2 2 2 2" xfId="45555" xr:uid="{00000000-0005-0000-0000-000089B20000}"/>
    <cellStyle name="SAPBEXexcBad8 2 2 2 2 2 2" xfId="45556" xr:uid="{00000000-0005-0000-0000-00008AB20000}"/>
    <cellStyle name="SAPBEXexcBad8 2 2 2 2 3" xfId="45557" xr:uid="{00000000-0005-0000-0000-00008BB20000}"/>
    <cellStyle name="SAPBEXexcBad8 2 2 2 3" xfId="45558" xr:uid="{00000000-0005-0000-0000-00008CB20000}"/>
    <cellStyle name="SAPBEXexcBad8 2 2 2 3 2" xfId="45559" xr:uid="{00000000-0005-0000-0000-00008DB20000}"/>
    <cellStyle name="SAPBEXexcBad8 2 2 2 4" xfId="45560" xr:uid="{00000000-0005-0000-0000-00008EB20000}"/>
    <cellStyle name="SAPBEXexcBad8 2 2 3" xfId="45561" xr:uid="{00000000-0005-0000-0000-00008FB20000}"/>
    <cellStyle name="SAPBEXexcBad8 2 2 3 2" xfId="45562" xr:uid="{00000000-0005-0000-0000-000090B20000}"/>
    <cellStyle name="SAPBEXexcBad8 2 2 3 2 2" xfId="45563" xr:uid="{00000000-0005-0000-0000-000091B20000}"/>
    <cellStyle name="SAPBEXexcBad8 2 2 3 3" xfId="45564" xr:uid="{00000000-0005-0000-0000-000092B20000}"/>
    <cellStyle name="SAPBEXexcBad8 2 2 4" xfId="45565" xr:uid="{00000000-0005-0000-0000-000093B20000}"/>
    <cellStyle name="SAPBEXexcBad8 2 2 4 2" xfId="45566" xr:uid="{00000000-0005-0000-0000-000094B20000}"/>
    <cellStyle name="SAPBEXexcBad8 2 2 4 2 2" xfId="45567" xr:uid="{00000000-0005-0000-0000-000095B20000}"/>
    <cellStyle name="SAPBEXexcBad8 2 2 4 3" xfId="45568" xr:uid="{00000000-0005-0000-0000-000096B20000}"/>
    <cellStyle name="SAPBEXexcBad8 2 2 5" xfId="45569" xr:uid="{00000000-0005-0000-0000-000097B20000}"/>
    <cellStyle name="SAPBEXexcBad8 2 2 5 2" xfId="45570" xr:uid="{00000000-0005-0000-0000-000098B20000}"/>
    <cellStyle name="SAPBEXexcBad8 2 2 6" xfId="45571" xr:uid="{00000000-0005-0000-0000-000099B20000}"/>
    <cellStyle name="SAPBEXexcBad8 2 3" xfId="45572" xr:uid="{00000000-0005-0000-0000-00009AB20000}"/>
    <cellStyle name="SAPBEXexcBad8 2 3 2" xfId="45573" xr:uid="{00000000-0005-0000-0000-00009BB20000}"/>
    <cellStyle name="SAPBEXexcBad8 2 3 2 2" xfId="45574" xr:uid="{00000000-0005-0000-0000-00009CB20000}"/>
    <cellStyle name="SAPBEXexcBad8 2 3 3" xfId="45575" xr:uid="{00000000-0005-0000-0000-00009DB20000}"/>
    <cellStyle name="SAPBEXexcBad8 2 4" xfId="45576" xr:uid="{00000000-0005-0000-0000-00009EB20000}"/>
    <cellStyle name="SAPBEXexcBad8 2 4 2" xfId="45577" xr:uid="{00000000-0005-0000-0000-00009FB20000}"/>
    <cellStyle name="SAPBEXexcBad8 2 4 2 2" xfId="45578" xr:uid="{00000000-0005-0000-0000-0000A0B20000}"/>
    <cellStyle name="SAPBEXexcBad8 2 4 3" xfId="45579" xr:uid="{00000000-0005-0000-0000-0000A1B20000}"/>
    <cellStyle name="SAPBEXexcBad8 2 5" xfId="45580" xr:uid="{00000000-0005-0000-0000-0000A2B20000}"/>
    <cellStyle name="SAPBEXexcBad8 2 5 2" xfId="45581" xr:uid="{00000000-0005-0000-0000-0000A3B20000}"/>
    <cellStyle name="SAPBEXexcBad8 2 5 2 2" xfId="45582" xr:uid="{00000000-0005-0000-0000-0000A4B20000}"/>
    <cellStyle name="SAPBEXexcBad8 2 5 3" xfId="45583" xr:uid="{00000000-0005-0000-0000-0000A5B20000}"/>
    <cellStyle name="SAPBEXexcBad8 2 6" xfId="45584" xr:uid="{00000000-0005-0000-0000-0000A6B20000}"/>
    <cellStyle name="SAPBEXexcBad8 2 6 2" xfId="45585" xr:uid="{00000000-0005-0000-0000-0000A7B20000}"/>
    <cellStyle name="SAPBEXexcBad8 2 7" xfId="45586" xr:uid="{00000000-0005-0000-0000-0000A8B20000}"/>
    <cellStyle name="SAPBEXexcBad8 3" xfId="45587" xr:uid="{00000000-0005-0000-0000-0000A9B20000}"/>
    <cellStyle name="SAPBEXexcBad8 3 2" xfId="45588" xr:uid="{00000000-0005-0000-0000-0000AAB20000}"/>
    <cellStyle name="SAPBEXexcBad8 3 2 2" xfId="45589" xr:uid="{00000000-0005-0000-0000-0000ABB20000}"/>
    <cellStyle name="SAPBEXexcBad8 3 3" xfId="45590" xr:uid="{00000000-0005-0000-0000-0000ACB20000}"/>
    <cellStyle name="SAPBEXexcBad8 3 3 2" xfId="45591" xr:uid="{00000000-0005-0000-0000-0000ADB20000}"/>
    <cellStyle name="SAPBEXexcBad8 3 3 2 2" xfId="45592" xr:uid="{00000000-0005-0000-0000-0000AEB20000}"/>
    <cellStyle name="SAPBEXexcBad8 3 3 3" xfId="45593" xr:uid="{00000000-0005-0000-0000-0000AFB20000}"/>
    <cellStyle name="SAPBEXexcBad8 3 4" xfId="45594" xr:uid="{00000000-0005-0000-0000-0000B0B20000}"/>
    <cellStyle name="SAPBEXexcBad8 3 4 2" xfId="45595" xr:uid="{00000000-0005-0000-0000-0000B1B20000}"/>
    <cellStyle name="SAPBEXexcBad8 3 4 2 2" xfId="45596" xr:uid="{00000000-0005-0000-0000-0000B2B20000}"/>
    <cellStyle name="SAPBEXexcBad8 3 4 3" xfId="45597" xr:uid="{00000000-0005-0000-0000-0000B3B20000}"/>
    <cellStyle name="SAPBEXexcBad8 3 5" xfId="45598" xr:uid="{00000000-0005-0000-0000-0000B4B20000}"/>
    <cellStyle name="SAPBEXexcBad8 4" xfId="45599" xr:uid="{00000000-0005-0000-0000-0000B5B20000}"/>
    <cellStyle name="SAPBEXexcBad8 4 2" xfId="45600" xr:uid="{00000000-0005-0000-0000-0000B6B20000}"/>
    <cellStyle name="SAPBEXexcBad8 4 2 2" xfId="45601" xr:uid="{00000000-0005-0000-0000-0000B7B20000}"/>
    <cellStyle name="SAPBEXexcBad8 4 2 2 2" xfId="45602" xr:uid="{00000000-0005-0000-0000-0000B8B20000}"/>
    <cellStyle name="SAPBEXexcBad8 4 2 3" xfId="45603" xr:uid="{00000000-0005-0000-0000-0000B9B20000}"/>
    <cellStyle name="SAPBEXexcBad8 4 2 3 2" xfId="45604" xr:uid="{00000000-0005-0000-0000-0000BAB20000}"/>
    <cellStyle name="SAPBEXexcBad8 4 2 3 2 2" xfId="45605" xr:uid="{00000000-0005-0000-0000-0000BBB20000}"/>
    <cellStyle name="SAPBEXexcBad8 4 2 3 3" xfId="45606" xr:uid="{00000000-0005-0000-0000-0000BCB20000}"/>
    <cellStyle name="SAPBEXexcBad8 4 2 4" xfId="45607" xr:uid="{00000000-0005-0000-0000-0000BDB20000}"/>
    <cellStyle name="SAPBEXexcBad8 4 3" xfId="45608" xr:uid="{00000000-0005-0000-0000-0000BEB20000}"/>
    <cellStyle name="SAPBEXexcBad8 4 3 2" xfId="45609" xr:uid="{00000000-0005-0000-0000-0000BFB20000}"/>
    <cellStyle name="SAPBEXexcBad8 4 3 2 2" xfId="45610" xr:uid="{00000000-0005-0000-0000-0000C0B20000}"/>
    <cellStyle name="SAPBEXexcBad8 4 3 3" xfId="45611" xr:uid="{00000000-0005-0000-0000-0000C1B20000}"/>
    <cellStyle name="SAPBEXexcBad8 4 4" xfId="45612" xr:uid="{00000000-0005-0000-0000-0000C2B20000}"/>
    <cellStyle name="SAPBEXexcBad8 4 4 2" xfId="45613" xr:uid="{00000000-0005-0000-0000-0000C3B20000}"/>
    <cellStyle name="SAPBEXexcBad8 4 4 2 2" xfId="45614" xr:uid="{00000000-0005-0000-0000-0000C4B20000}"/>
    <cellStyle name="SAPBEXexcBad8 4 4 3" xfId="45615" xr:uid="{00000000-0005-0000-0000-0000C5B20000}"/>
    <cellStyle name="SAPBEXexcBad8 4 5" xfId="45616" xr:uid="{00000000-0005-0000-0000-0000C6B20000}"/>
    <cellStyle name="SAPBEXexcBad8 4 5 2" xfId="45617" xr:uid="{00000000-0005-0000-0000-0000C7B20000}"/>
    <cellStyle name="SAPBEXexcBad8 4 5 2 2" xfId="45618" xr:uid="{00000000-0005-0000-0000-0000C8B20000}"/>
    <cellStyle name="SAPBEXexcBad8 4 5 3" xfId="45619" xr:uid="{00000000-0005-0000-0000-0000C9B20000}"/>
    <cellStyle name="SAPBEXexcBad8 4 6" xfId="45620" xr:uid="{00000000-0005-0000-0000-0000CAB20000}"/>
    <cellStyle name="SAPBEXexcBad8 5" xfId="45621" xr:uid="{00000000-0005-0000-0000-0000CBB20000}"/>
    <cellStyle name="SAPBEXexcBad8 5 2" xfId="45622" xr:uid="{00000000-0005-0000-0000-0000CCB20000}"/>
    <cellStyle name="SAPBEXexcBad8 5 2 2" xfId="45623" xr:uid="{00000000-0005-0000-0000-0000CDB20000}"/>
    <cellStyle name="SAPBEXexcBad8 5 3" xfId="45624" xr:uid="{00000000-0005-0000-0000-0000CEB20000}"/>
    <cellStyle name="SAPBEXexcBad8 6" xfId="45625" xr:uid="{00000000-0005-0000-0000-0000CFB20000}"/>
    <cellStyle name="SAPBEXexcBad8 6 2" xfId="45626" xr:uid="{00000000-0005-0000-0000-0000D0B20000}"/>
    <cellStyle name="SAPBEXexcBad8 6 2 2" xfId="45627" xr:uid="{00000000-0005-0000-0000-0000D1B20000}"/>
    <cellStyle name="SAPBEXexcBad8 6 3" xfId="45628" xr:uid="{00000000-0005-0000-0000-0000D2B20000}"/>
    <cellStyle name="SAPBEXexcBad8 7" xfId="45629" xr:uid="{00000000-0005-0000-0000-0000D3B20000}"/>
    <cellStyle name="SAPBEXexcBad8 7 2" xfId="45630" xr:uid="{00000000-0005-0000-0000-0000D4B20000}"/>
    <cellStyle name="SAPBEXexcBad8 7 2 2" xfId="45631" xr:uid="{00000000-0005-0000-0000-0000D5B20000}"/>
    <cellStyle name="SAPBEXexcBad8 7 3" xfId="45632" xr:uid="{00000000-0005-0000-0000-0000D6B20000}"/>
    <cellStyle name="SAPBEXexcBad8 8" xfId="45633" xr:uid="{00000000-0005-0000-0000-0000D7B20000}"/>
    <cellStyle name="SAPBEXexcBad8 8 2" xfId="45634" xr:uid="{00000000-0005-0000-0000-0000D8B20000}"/>
    <cellStyle name="SAPBEXexcBad8 9" xfId="45635" xr:uid="{00000000-0005-0000-0000-0000D9B20000}"/>
    <cellStyle name="SAPBEXexcBad8 9 2" xfId="45636" xr:uid="{00000000-0005-0000-0000-0000DAB20000}"/>
    <cellStyle name="SAPBEXexcBad9" xfId="47" xr:uid="{00000000-0005-0000-0000-0000DBB20000}"/>
    <cellStyle name="SAPBEXexcBad9 10" xfId="45637" xr:uid="{00000000-0005-0000-0000-0000DCB20000}"/>
    <cellStyle name="SAPBEXexcBad9 10 2" xfId="45638" xr:uid="{00000000-0005-0000-0000-0000DDB20000}"/>
    <cellStyle name="SAPBEXexcBad9 11" xfId="45639" xr:uid="{00000000-0005-0000-0000-0000DEB20000}"/>
    <cellStyle name="SAPBEXexcBad9 11 2" xfId="45640" xr:uid="{00000000-0005-0000-0000-0000DFB20000}"/>
    <cellStyle name="SAPBEXexcBad9 12" xfId="45641" xr:uid="{00000000-0005-0000-0000-0000E0B20000}"/>
    <cellStyle name="SAPBEXexcBad9 12 2" xfId="45642" xr:uid="{00000000-0005-0000-0000-0000E1B20000}"/>
    <cellStyle name="SAPBEXexcBad9 13" xfId="45643" xr:uid="{00000000-0005-0000-0000-0000E2B20000}"/>
    <cellStyle name="SAPBEXexcBad9 2" xfId="45644" xr:uid="{00000000-0005-0000-0000-0000E3B20000}"/>
    <cellStyle name="SAPBEXexcBad9 2 2" xfId="45645" xr:uid="{00000000-0005-0000-0000-0000E4B20000}"/>
    <cellStyle name="SAPBEXexcBad9 2 2 2" xfId="45646" xr:uid="{00000000-0005-0000-0000-0000E5B20000}"/>
    <cellStyle name="SAPBEXexcBad9 2 2 2 2" xfId="45647" xr:uid="{00000000-0005-0000-0000-0000E6B20000}"/>
    <cellStyle name="SAPBEXexcBad9 2 2 2 2 2" xfId="45648" xr:uid="{00000000-0005-0000-0000-0000E7B20000}"/>
    <cellStyle name="SAPBEXexcBad9 2 2 2 2 2 2" xfId="45649" xr:uid="{00000000-0005-0000-0000-0000E8B20000}"/>
    <cellStyle name="SAPBEXexcBad9 2 2 2 2 3" xfId="45650" xr:uid="{00000000-0005-0000-0000-0000E9B20000}"/>
    <cellStyle name="SAPBEXexcBad9 2 2 2 3" xfId="45651" xr:uid="{00000000-0005-0000-0000-0000EAB20000}"/>
    <cellStyle name="SAPBEXexcBad9 2 2 2 3 2" xfId="45652" xr:uid="{00000000-0005-0000-0000-0000EBB20000}"/>
    <cellStyle name="SAPBEXexcBad9 2 2 2 4" xfId="45653" xr:uid="{00000000-0005-0000-0000-0000ECB20000}"/>
    <cellStyle name="SAPBEXexcBad9 2 2 3" xfId="45654" xr:uid="{00000000-0005-0000-0000-0000EDB20000}"/>
    <cellStyle name="SAPBEXexcBad9 2 2 3 2" xfId="45655" xr:uid="{00000000-0005-0000-0000-0000EEB20000}"/>
    <cellStyle name="SAPBEXexcBad9 2 2 3 2 2" xfId="45656" xr:uid="{00000000-0005-0000-0000-0000EFB20000}"/>
    <cellStyle name="SAPBEXexcBad9 2 2 3 3" xfId="45657" xr:uid="{00000000-0005-0000-0000-0000F0B20000}"/>
    <cellStyle name="SAPBEXexcBad9 2 2 4" xfId="45658" xr:uid="{00000000-0005-0000-0000-0000F1B20000}"/>
    <cellStyle name="SAPBEXexcBad9 2 2 4 2" xfId="45659" xr:uid="{00000000-0005-0000-0000-0000F2B20000}"/>
    <cellStyle name="SAPBEXexcBad9 2 2 4 2 2" xfId="45660" xr:uid="{00000000-0005-0000-0000-0000F3B20000}"/>
    <cellStyle name="SAPBEXexcBad9 2 2 4 3" xfId="45661" xr:uid="{00000000-0005-0000-0000-0000F4B20000}"/>
    <cellStyle name="SAPBEXexcBad9 2 2 5" xfId="45662" xr:uid="{00000000-0005-0000-0000-0000F5B20000}"/>
    <cellStyle name="SAPBEXexcBad9 2 2 5 2" xfId="45663" xr:uid="{00000000-0005-0000-0000-0000F6B20000}"/>
    <cellStyle name="SAPBEXexcBad9 2 2 6" xfId="45664" xr:uid="{00000000-0005-0000-0000-0000F7B20000}"/>
    <cellStyle name="SAPBEXexcBad9 2 3" xfId="45665" xr:uid="{00000000-0005-0000-0000-0000F8B20000}"/>
    <cellStyle name="SAPBEXexcBad9 2 3 2" xfId="45666" xr:uid="{00000000-0005-0000-0000-0000F9B20000}"/>
    <cellStyle name="SAPBEXexcBad9 2 3 2 2" xfId="45667" xr:uid="{00000000-0005-0000-0000-0000FAB20000}"/>
    <cellStyle name="SAPBEXexcBad9 2 3 3" xfId="45668" xr:uid="{00000000-0005-0000-0000-0000FBB20000}"/>
    <cellStyle name="SAPBEXexcBad9 2 4" xfId="45669" xr:uid="{00000000-0005-0000-0000-0000FCB20000}"/>
    <cellStyle name="SAPBEXexcBad9 2 4 2" xfId="45670" xr:uid="{00000000-0005-0000-0000-0000FDB20000}"/>
    <cellStyle name="SAPBEXexcBad9 2 4 2 2" xfId="45671" xr:uid="{00000000-0005-0000-0000-0000FEB20000}"/>
    <cellStyle name="SAPBEXexcBad9 2 4 3" xfId="45672" xr:uid="{00000000-0005-0000-0000-0000FFB20000}"/>
    <cellStyle name="SAPBEXexcBad9 2 5" xfId="45673" xr:uid="{00000000-0005-0000-0000-000000B30000}"/>
    <cellStyle name="SAPBEXexcBad9 2 5 2" xfId="45674" xr:uid="{00000000-0005-0000-0000-000001B30000}"/>
    <cellStyle name="SAPBEXexcBad9 2 5 2 2" xfId="45675" xr:uid="{00000000-0005-0000-0000-000002B30000}"/>
    <cellStyle name="SAPBEXexcBad9 2 5 3" xfId="45676" xr:uid="{00000000-0005-0000-0000-000003B30000}"/>
    <cellStyle name="SAPBEXexcBad9 2 6" xfId="45677" xr:uid="{00000000-0005-0000-0000-000004B30000}"/>
    <cellStyle name="SAPBEXexcBad9 2 6 2" xfId="45678" xr:uid="{00000000-0005-0000-0000-000005B30000}"/>
    <cellStyle name="SAPBEXexcBad9 2 7" xfId="45679" xr:uid="{00000000-0005-0000-0000-000006B30000}"/>
    <cellStyle name="SAPBEXexcBad9 3" xfId="45680" xr:uid="{00000000-0005-0000-0000-000007B30000}"/>
    <cellStyle name="SAPBEXexcBad9 3 2" xfId="45681" xr:uid="{00000000-0005-0000-0000-000008B30000}"/>
    <cellStyle name="SAPBEXexcBad9 3 2 2" xfId="45682" xr:uid="{00000000-0005-0000-0000-000009B30000}"/>
    <cellStyle name="SAPBEXexcBad9 3 3" xfId="45683" xr:uid="{00000000-0005-0000-0000-00000AB30000}"/>
    <cellStyle name="SAPBEXexcBad9 3 3 2" xfId="45684" xr:uid="{00000000-0005-0000-0000-00000BB30000}"/>
    <cellStyle name="SAPBEXexcBad9 3 3 2 2" xfId="45685" xr:uid="{00000000-0005-0000-0000-00000CB30000}"/>
    <cellStyle name="SAPBEXexcBad9 3 3 3" xfId="45686" xr:uid="{00000000-0005-0000-0000-00000DB30000}"/>
    <cellStyle name="SAPBEXexcBad9 3 4" xfId="45687" xr:uid="{00000000-0005-0000-0000-00000EB30000}"/>
    <cellStyle name="SAPBEXexcBad9 3 4 2" xfId="45688" xr:uid="{00000000-0005-0000-0000-00000FB30000}"/>
    <cellStyle name="SAPBEXexcBad9 3 4 2 2" xfId="45689" xr:uid="{00000000-0005-0000-0000-000010B30000}"/>
    <cellStyle name="SAPBEXexcBad9 3 4 3" xfId="45690" xr:uid="{00000000-0005-0000-0000-000011B30000}"/>
    <cellStyle name="SAPBEXexcBad9 3 5" xfId="45691" xr:uid="{00000000-0005-0000-0000-000012B30000}"/>
    <cellStyle name="SAPBEXexcBad9 4" xfId="45692" xr:uid="{00000000-0005-0000-0000-000013B30000}"/>
    <cellStyle name="SAPBEXexcBad9 4 2" xfId="45693" xr:uid="{00000000-0005-0000-0000-000014B30000}"/>
    <cellStyle name="SAPBEXexcBad9 4 2 2" xfId="45694" xr:uid="{00000000-0005-0000-0000-000015B30000}"/>
    <cellStyle name="SAPBEXexcBad9 4 2 2 2" xfId="45695" xr:uid="{00000000-0005-0000-0000-000016B30000}"/>
    <cellStyle name="SAPBEXexcBad9 4 2 3" xfId="45696" xr:uid="{00000000-0005-0000-0000-000017B30000}"/>
    <cellStyle name="SAPBEXexcBad9 4 2 3 2" xfId="45697" xr:uid="{00000000-0005-0000-0000-000018B30000}"/>
    <cellStyle name="SAPBEXexcBad9 4 2 3 2 2" xfId="45698" xr:uid="{00000000-0005-0000-0000-000019B30000}"/>
    <cellStyle name="SAPBEXexcBad9 4 2 3 3" xfId="45699" xr:uid="{00000000-0005-0000-0000-00001AB30000}"/>
    <cellStyle name="SAPBEXexcBad9 4 2 4" xfId="45700" xr:uid="{00000000-0005-0000-0000-00001BB30000}"/>
    <cellStyle name="SAPBEXexcBad9 4 3" xfId="45701" xr:uid="{00000000-0005-0000-0000-00001CB30000}"/>
    <cellStyle name="SAPBEXexcBad9 4 3 2" xfId="45702" xr:uid="{00000000-0005-0000-0000-00001DB30000}"/>
    <cellStyle name="SAPBEXexcBad9 4 3 2 2" xfId="45703" xr:uid="{00000000-0005-0000-0000-00001EB30000}"/>
    <cellStyle name="SAPBEXexcBad9 4 3 3" xfId="45704" xr:uid="{00000000-0005-0000-0000-00001FB30000}"/>
    <cellStyle name="SAPBEXexcBad9 4 4" xfId="45705" xr:uid="{00000000-0005-0000-0000-000020B30000}"/>
    <cellStyle name="SAPBEXexcBad9 4 4 2" xfId="45706" xr:uid="{00000000-0005-0000-0000-000021B30000}"/>
    <cellStyle name="SAPBEXexcBad9 4 4 2 2" xfId="45707" xr:uid="{00000000-0005-0000-0000-000022B30000}"/>
    <cellStyle name="SAPBEXexcBad9 4 4 3" xfId="45708" xr:uid="{00000000-0005-0000-0000-000023B30000}"/>
    <cellStyle name="SAPBEXexcBad9 4 5" xfId="45709" xr:uid="{00000000-0005-0000-0000-000024B30000}"/>
    <cellStyle name="SAPBEXexcBad9 4 5 2" xfId="45710" xr:uid="{00000000-0005-0000-0000-000025B30000}"/>
    <cellStyle name="SAPBEXexcBad9 4 5 2 2" xfId="45711" xr:uid="{00000000-0005-0000-0000-000026B30000}"/>
    <cellStyle name="SAPBEXexcBad9 4 5 3" xfId="45712" xr:uid="{00000000-0005-0000-0000-000027B30000}"/>
    <cellStyle name="SAPBEXexcBad9 4 6" xfId="45713" xr:uid="{00000000-0005-0000-0000-000028B30000}"/>
    <cellStyle name="SAPBEXexcBad9 5" xfId="45714" xr:uid="{00000000-0005-0000-0000-000029B30000}"/>
    <cellStyle name="SAPBEXexcBad9 5 2" xfId="45715" xr:uid="{00000000-0005-0000-0000-00002AB30000}"/>
    <cellStyle name="SAPBEXexcBad9 5 2 2" xfId="45716" xr:uid="{00000000-0005-0000-0000-00002BB30000}"/>
    <cellStyle name="SAPBEXexcBad9 5 3" xfId="45717" xr:uid="{00000000-0005-0000-0000-00002CB30000}"/>
    <cellStyle name="SAPBEXexcBad9 6" xfId="45718" xr:uid="{00000000-0005-0000-0000-00002DB30000}"/>
    <cellStyle name="SAPBEXexcBad9 6 2" xfId="45719" xr:uid="{00000000-0005-0000-0000-00002EB30000}"/>
    <cellStyle name="SAPBEXexcBad9 6 2 2" xfId="45720" xr:uid="{00000000-0005-0000-0000-00002FB30000}"/>
    <cellStyle name="SAPBEXexcBad9 6 3" xfId="45721" xr:uid="{00000000-0005-0000-0000-000030B30000}"/>
    <cellStyle name="SAPBEXexcBad9 7" xfId="45722" xr:uid="{00000000-0005-0000-0000-000031B30000}"/>
    <cellStyle name="SAPBEXexcBad9 7 2" xfId="45723" xr:uid="{00000000-0005-0000-0000-000032B30000}"/>
    <cellStyle name="SAPBEXexcBad9 7 2 2" xfId="45724" xr:uid="{00000000-0005-0000-0000-000033B30000}"/>
    <cellStyle name="SAPBEXexcBad9 7 3" xfId="45725" xr:uid="{00000000-0005-0000-0000-000034B30000}"/>
    <cellStyle name="SAPBEXexcBad9 8" xfId="45726" xr:uid="{00000000-0005-0000-0000-000035B30000}"/>
    <cellStyle name="SAPBEXexcBad9 8 2" xfId="45727" xr:uid="{00000000-0005-0000-0000-000036B30000}"/>
    <cellStyle name="SAPBEXexcBad9 9" xfId="45728" xr:uid="{00000000-0005-0000-0000-000037B30000}"/>
    <cellStyle name="SAPBEXexcBad9 9 2" xfId="45729" xr:uid="{00000000-0005-0000-0000-000038B30000}"/>
    <cellStyle name="SAPBEXexcCritical4" xfId="48" xr:uid="{00000000-0005-0000-0000-000039B30000}"/>
    <cellStyle name="SAPBEXexcCritical4 10" xfId="45730" xr:uid="{00000000-0005-0000-0000-00003AB30000}"/>
    <cellStyle name="SAPBEXexcCritical4 10 2" xfId="45731" xr:uid="{00000000-0005-0000-0000-00003BB30000}"/>
    <cellStyle name="SAPBEXexcCritical4 11" xfId="45732" xr:uid="{00000000-0005-0000-0000-00003CB30000}"/>
    <cellStyle name="SAPBEXexcCritical4 11 2" xfId="45733" xr:uid="{00000000-0005-0000-0000-00003DB30000}"/>
    <cellStyle name="SAPBEXexcCritical4 12" xfId="45734" xr:uid="{00000000-0005-0000-0000-00003EB30000}"/>
    <cellStyle name="SAPBEXexcCritical4 12 2" xfId="45735" xr:uid="{00000000-0005-0000-0000-00003FB30000}"/>
    <cellStyle name="SAPBEXexcCritical4 13" xfId="45736" xr:uid="{00000000-0005-0000-0000-000040B30000}"/>
    <cellStyle name="SAPBEXexcCritical4 14" xfId="45737" xr:uid="{00000000-0005-0000-0000-000041B30000}"/>
    <cellStyle name="SAPBEXexcCritical4 2" xfId="45738" xr:uid="{00000000-0005-0000-0000-000042B30000}"/>
    <cellStyle name="SAPBEXexcCritical4 2 2" xfId="45739" xr:uid="{00000000-0005-0000-0000-000043B30000}"/>
    <cellStyle name="SAPBEXexcCritical4 2 2 2" xfId="45740" xr:uid="{00000000-0005-0000-0000-000044B30000}"/>
    <cellStyle name="SAPBEXexcCritical4 2 2 2 2" xfId="45741" xr:uid="{00000000-0005-0000-0000-000045B30000}"/>
    <cellStyle name="SAPBEXexcCritical4 2 2 2 2 2" xfId="45742" xr:uid="{00000000-0005-0000-0000-000046B30000}"/>
    <cellStyle name="SAPBEXexcCritical4 2 2 2 2 2 2" xfId="45743" xr:uid="{00000000-0005-0000-0000-000047B30000}"/>
    <cellStyle name="SAPBEXexcCritical4 2 2 2 2 3" xfId="45744" xr:uid="{00000000-0005-0000-0000-000048B30000}"/>
    <cellStyle name="SAPBEXexcCritical4 2 2 2 3" xfId="45745" xr:uid="{00000000-0005-0000-0000-000049B30000}"/>
    <cellStyle name="SAPBEXexcCritical4 2 2 2 3 2" xfId="45746" xr:uid="{00000000-0005-0000-0000-00004AB30000}"/>
    <cellStyle name="SAPBEXexcCritical4 2 2 2 4" xfId="45747" xr:uid="{00000000-0005-0000-0000-00004BB30000}"/>
    <cellStyle name="SAPBEXexcCritical4 2 2 3" xfId="45748" xr:uid="{00000000-0005-0000-0000-00004CB30000}"/>
    <cellStyle name="SAPBEXexcCritical4 2 2 3 2" xfId="45749" xr:uid="{00000000-0005-0000-0000-00004DB30000}"/>
    <cellStyle name="SAPBEXexcCritical4 2 2 3 2 2" xfId="45750" xr:uid="{00000000-0005-0000-0000-00004EB30000}"/>
    <cellStyle name="SAPBEXexcCritical4 2 2 3 3" xfId="45751" xr:uid="{00000000-0005-0000-0000-00004FB30000}"/>
    <cellStyle name="SAPBEXexcCritical4 2 2 4" xfId="45752" xr:uid="{00000000-0005-0000-0000-000050B30000}"/>
    <cellStyle name="SAPBEXexcCritical4 2 2 4 2" xfId="45753" xr:uid="{00000000-0005-0000-0000-000051B30000}"/>
    <cellStyle name="SAPBEXexcCritical4 2 2 4 2 2" xfId="45754" xr:uid="{00000000-0005-0000-0000-000052B30000}"/>
    <cellStyle name="SAPBEXexcCritical4 2 2 4 3" xfId="45755" xr:uid="{00000000-0005-0000-0000-000053B30000}"/>
    <cellStyle name="SAPBEXexcCritical4 2 2 5" xfId="45756" xr:uid="{00000000-0005-0000-0000-000054B30000}"/>
    <cellStyle name="SAPBEXexcCritical4 2 2 5 2" xfId="45757" xr:uid="{00000000-0005-0000-0000-000055B30000}"/>
    <cellStyle name="SAPBEXexcCritical4 2 2 6" xfId="45758" xr:uid="{00000000-0005-0000-0000-000056B30000}"/>
    <cellStyle name="SAPBEXexcCritical4 2 3" xfId="45759" xr:uid="{00000000-0005-0000-0000-000057B30000}"/>
    <cellStyle name="SAPBEXexcCritical4 2 3 2" xfId="45760" xr:uid="{00000000-0005-0000-0000-000058B30000}"/>
    <cellStyle name="SAPBEXexcCritical4 2 3 2 2" xfId="45761" xr:uid="{00000000-0005-0000-0000-000059B30000}"/>
    <cellStyle name="SAPBEXexcCritical4 2 3 3" xfId="45762" xr:uid="{00000000-0005-0000-0000-00005AB30000}"/>
    <cellStyle name="SAPBEXexcCritical4 2 4" xfId="45763" xr:uid="{00000000-0005-0000-0000-00005BB30000}"/>
    <cellStyle name="SAPBEXexcCritical4 2 4 2" xfId="45764" xr:uid="{00000000-0005-0000-0000-00005CB30000}"/>
    <cellStyle name="SAPBEXexcCritical4 2 4 2 2" xfId="45765" xr:uid="{00000000-0005-0000-0000-00005DB30000}"/>
    <cellStyle name="SAPBEXexcCritical4 2 4 3" xfId="45766" xr:uid="{00000000-0005-0000-0000-00005EB30000}"/>
    <cellStyle name="SAPBEXexcCritical4 2 5" xfId="45767" xr:uid="{00000000-0005-0000-0000-00005FB30000}"/>
    <cellStyle name="SAPBEXexcCritical4 2 5 2" xfId="45768" xr:uid="{00000000-0005-0000-0000-000060B30000}"/>
    <cellStyle name="SAPBEXexcCritical4 2 5 2 2" xfId="45769" xr:uid="{00000000-0005-0000-0000-000061B30000}"/>
    <cellStyle name="SAPBEXexcCritical4 2 5 3" xfId="45770" xr:uid="{00000000-0005-0000-0000-000062B30000}"/>
    <cellStyle name="SAPBEXexcCritical4 2 6" xfId="45771" xr:uid="{00000000-0005-0000-0000-000063B30000}"/>
    <cellStyle name="SAPBEXexcCritical4 2 6 2" xfId="45772" xr:uid="{00000000-0005-0000-0000-000064B30000}"/>
    <cellStyle name="SAPBEXexcCritical4 2 7" xfId="45773" xr:uid="{00000000-0005-0000-0000-000065B30000}"/>
    <cellStyle name="SAPBEXexcCritical4 3" xfId="45774" xr:uid="{00000000-0005-0000-0000-000066B30000}"/>
    <cellStyle name="SAPBEXexcCritical4 3 2" xfId="45775" xr:uid="{00000000-0005-0000-0000-000067B30000}"/>
    <cellStyle name="SAPBEXexcCritical4 3 2 2" xfId="45776" xr:uid="{00000000-0005-0000-0000-000068B30000}"/>
    <cellStyle name="SAPBEXexcCritical4 3 3" xfId="45777" xr:uid="{00000000-0005-0000-0000-000069B30000}"/>
    <cellStyle name="SAPBEXexcCritical4 3 3 2" xfId="45778" xr:uid="{00000000-0005-0000-0000-00006AB30000}"/>
    <cellStyle name="SAPBEXexcCritical4 3 3 2 2" xfId="45779" xr:uid="{00000000-0005-0000-0000-00006BB30000}"/>
    <cellStyle name="SAPBEXexcCritical4 3 3 3" xfId="45780" xr:uid="{00000000-0005-0000-0000-00006CB30000}"/>
    <cellStyle name="SAPBEXexcCritical4 3 4" xfId="45781" xr:uid="{00000000-0005-0000-0000-00006DB30000}"/>
    <cellStyle name="SAPBEXexcCritical4 3 4 2" xfId="45782" xr:uid="{00000000-0005-0000-0000-00006EB30000}"/>
    <cellStyle name="SAPBEXexcCritical4 3 4 2 2" xfId="45783" xr:uid="{00000000-0005-0000-0000-00006FB30000}"/>
    <cellStyle name="SAPBEXexcCritical4 3 4 3" xfId="45784" xr:uid="{00000000-0005-0000-0000-000070B30000}"/>
    <cellStyle name="SAPBEXexcCritical4 3 5" xfId="45785" xr:uid="{00000000-0005-0000-0000-000071B30000}"/>
    <cellStyle name="SAPBEXexcCritical4 4" xfId="45786" xr:uid="{00000000-0005-0000-0000-000072B30000}"/>
    <cellStyle name="SAPBEXexcCritical4 4 2" xfId="45787" xr:uid="{00000000-0005-0000-0000-000073B30000}"/>
    <cellStyle name="SAPBEXexcCritical4 4 2 2" xfId="45788" xr:uid="{00000000-0005-0000-0000-000074B30000}"/>
    <cellStyle name="SAPBEXexcCritical4 4 2 2 2" xfId="45789" xr:uid="{00000000-0005-0000-0000-000075B30000}"/>
    <cellStyle name="SAPBEXexcCritical4 4 2 3" xfId="45790" xr:uid="{00000000-0005-0000-0000-000076B30000}"/>
    <cellStyle name="SAPBEXexcCritical4 4 2 3 2" xfId="45791" xr:uid="{00000000-0005-0000-0000-000077B30000}"/>
    <cellStyle name="SAPBEXexcCritical4 4 2 3 2 2" xfId="45792" xr:uid="{00000000-0005-0000-0000-000078B30000}"/>
    <cellStyle name="SAPBEXexcCritical4 4 2 3 3" xfId="45793" xr:uid="{00000000-0005-0000-0000-000079B30000}"/>
    <cellStyle name="SAPBEXexcCritical4 4 2 4" xfId="45794" xr:uid="{00000000-0005-0000-0000-00007AB30000}"/>
    <cellStyle name="SAPBEXexcCritical4 4 3" xfId="45795" xr:uid="{00000000-0005-0000-0000-00007BB30000}"/>
    <cellStyle name="SAPBEXexcCritical4 4 3 2" xfId="45796" xr:uid="{00000000-0005-0000-0000-00007CB30000}"/>
    <cellStyle name="SAPBEXexcCritical4 4 3 2 2" xfId="45797" xr:uid="{00000000-0005-0000-0000-00007DB30000}"/>
    <cellStyle name="SAPBEXexcCritical4 4 3 3" xfId="45798" xr:uid="{00000000-0005-0000-0000-00007EB30000}"/>
    <cellStyle name="SAPBEXexcCritical4 4 4" xfId="45799" xr:uid="{00000000-0005-0000-0000-00007FB30000}"/>
    <cellStyle name="SAPBEXexcCritical4 4 4 2" xfId="45800" xr:uid="{00000000-0005-0000-0000-000080B30000}"/>
    <cellStyle name="SAPBEXexcCritical4 4 4 2 2" xfId="45801" xr:uid="{00000000-0005-0000-0000-000081B30000}"/>
    <cellStyle name="SAPBEXexcCritical4 4 4 3" xfId="45802" xr:uid="{00000000-0005-0000-0000-000082B30000}"/>
    <cellStyle name="SAPBEXexcCritical4 4 5" xfId="45803" xr:uid="{00000000-0005-0000-0000-000083B30000}"/>
    <cellStyle name="SAPBEXexcCritical4 4 5 2" xfId="45804" xr:uid="{00000000-0005-0000-0000-000084B30000}"/>
    <cellStyle name="SAPBEXexcCritical4 4 5 2 2" xfId="45805" xr:uid="{00000000-0005-0000-0000-000085B30000}"/>
    <cellStyle name="SAPBEXexcCritical4 4 5 3" xfId="45806" xr:uid="{00000000-0005-0000-0000-000086B30000}"/>
    <cellStyle name="SAPBEXexcCritical4 4 6" xfId="45807" xr:uid="{00000000-0005-0000-0000-000087B30000}"/>
    <cellStyle name="SAPBEXexcCritical4 5" xfId="45808" xr:uid="{00000000-0005-0000-0000-000088B30000}"/>
    <cellStyle name="SAPBEXexcCritical4 5 2" xfId="45809" xr:uid="{00000000-0005-0000-0000-000089B30000}"/>
    <cellStyle name="SAPBEXexcCritical4 5 2 2" xfId="45810" xr:uid="{00000000-0005-0000-0000-00008AB30000}"/>
    <cellStyle name="SAPBEXexcCritical4 5 3" xfId="45811" xr:uid="{00000000-0005-0000-0000-00008BB30000}"/>
    <cellStyle name="SAPBEXexcCritical4 6" xfId="45812" xr:uid="{00000000-0005-0000-0000-00008CB30000}"/>
    <cellStyle name="SAPBEXexcCritical4 6 2" xfId="45813" xr:uid="{00000000-0005-0000-0000-00008DB30000}"/>
    <cellStyle name="SAPBEXexcCritical4 6 2 2" xfId="45814" xr:uid="{00000000-0005-0000-0000-00008EB30000}"/>
    <cellStyle name="SAPBEXexcCritical4 6 3" xfId="45815" xr:uid="{00000000-0005-0000-0000-00008FB30000}"/>
    <cellStyle name="SAPBEXexcCritical4 7" xfId="45816" xr:uid="{00000000-0005-0000-0000-000090B30000}"/>
    <cellStyle name="SAPBEXexcCritical4 7 2" xfId="45817" xr:uid="{00000000-0005-0000-0000-000091B30000}"/>
    <cellStyle name="SAPBEXexcCritical4 7 2 2" xfId="45818" xr:uid="{00000000-0005-0000-0000-000092B30000}"/>
    <cellStyle name="SAPBEXexcCritical4 7 3" xfId="45819" xr:uid="{00000000-0005-0000-0000-000093B30000}"/>
    <cellStyle name="SAPBEXexcCritical4 8" xfId="45820" xr:uid="{00000000-0005-0000-0000-000094B30000}"/>
    <cellStyle name="SAPBEXexcCritical4 8 2" xfId="45821" xr:uid="{00000000-0005-0000-0000-000095B30000}"/>
    <cellStyle name="SAPBEXexcCritical4 9" xfId="45822" xr:uid="{00000000-0005-0000-0000-000096B30000}"/>
    <cellStyle name="SAPBEXexcCritical4 9 2" xfId="45823" xr:uid="{00000000-0005-0000-0000-000097B30000}"/>
    <cellStyle name="SAPBEXexcCritical5" xfId="49" xr:uid="{00000000-0005-0000-0000-000098B30000}"/>
    <cellStyle name="SAPBEXexcCritical5 10" xfId="45824" xr:uid="{00000000-0005-0000-0000-000099B30000}"/>
    <cellStyle name="SAPBEXexcCritical5 10 2" xfId="45825" xr:uid="{00000000-0005-0000-0000-00009AB30000}"/>
    <cellStyle name="SAPBEXexcCritical5 11" xfId="45826" xr:uid="{00000000-0005-0000-0000-00009BB30000}"/>
    <cellStyle name="SAPBEXexcCritical5 11 2" xfId="45827" xr:uid="{00000000-0005-0000-0000-00009CB30000}"/>
    <cellStyle name="SAPBEXexcCritical5 12" xfId="45828" xr:uid="{00000000-0005-0000-0000-00009DB30000}"/>
    <cellStyle name="SAPBEXexcCritical5 12 2" xfId="45829" xr:uid="{00000000-0005-0000-0000-00009EB30000}"/>
    <cellStyle name="SAPBEXexcCritical5 13" xfId="45830" xr:uid="{00000000-0005-0000-0000-00009FB30000}"/>
    <cellStyle name="SAPBEXexcCritical5 14" xfId="45831" xr:uid="{00000000-0005-0000-0000-0000A0B30000}"/>
    <cellStyle name="SAPBEXexcCritical5 2" xfId="45832" xr:uid="{00000000-0005-0000-0000-0000A1B30000}"/>
    <cellStyle name="SAPBEXexcCritical5 2 2" xfId="45833" xr:uid="{00000000-0005-0000-0000-0000A2B30000}"/>
    <cellStyle name="SAPBEXexcCritical5 2 2 2" xfId="45834" xr:uid="{00000000-0005-0000-0000-0000A3B30000}"/>
    <cellStyle name="SAPBEXexcCritical5 2 2 2 2" xfId="45835" xr:uid="{00000000-0005-0000-0000-0000A4B30000}"/>
    <cellStyle name="SAPBEXexcCritical5 2 2 2 2 2" xfId="45836" xr:uid="{00000000-0005-0000-0000-0000A5B30000}"/>
    <cellStyle name="SAPBEXexcCritical5 2 2 2 2 2 2" xfId="45837" xr:uid="{00000000-0005-0000-0000-0000A6B30000}"/>
    <cellStyle name="SAPBEXexcCritical5 2 2 2 2 3" xfId="45838" xr:uid="{00000000-0005-0000-0000-0000A7B30000}"/>
    <cellStyle name="SAPBEXexcCritical5 2 2 2 3" xfId="45839" xr:uid="{00000000-0005-0000-0000-0000A8B30000}"/>
    <cellStyle name="SAPBEXexcCritical5 2 2 2 3 2" xfId="45840" xr:uid="{00000000-0005-0000-0000-0000A9B30000}"/>
    <cellStyle name="SAPBEXexcCritical5 2 2 2 4" xfId="45841" xr:uid="{00000000-0005-0000-0000-0000AAB30000}"/>
    <cellStyle name="SAPBEXexcCritical5 2 2 3" xfId="45842" xr:uid="{00000000-0005-0000-0000-0000ABB30000}"/>
    <cellStyle name="SAPBEXexcCritical5 2 2 3 2" xfId="45843" xr:uid="{00000000-0005-0000-0000-0000ACB30000}"/>
    <cellStyle name="SAPBEXexcCritical5 2 2 3 2 2" xfId="45844" xr:uid="{00000000-0005-0000-0000-0000ADB30000}"/>
    <cellStyle name="SAPBEXexcCritical5 2 2 3 3" xfId="45845" xr:uid="{00000000-0005-0000-0000-0000AEB30000}"/>
    <cellStyle name="SAPBEXexcCritical5 2 2 4" xfId="45846" xr:uid="{00000000-0005-0000-0000-0000AFB30000}"/>
    <cellStyle name="SAPBEXexcCritical5 2 2 4 2" xfId="45847" xr:uid="{00000000-0005-0000-0000-0000B0B30000}"/>
    <cellStyle name="SAPBEXexcCritical5 2 2 4 2 2" xfId="45848" xr:uid="{00000000-0005-0000-0000-0000B1B30000}"/>
    <cellStyle name="SAPBEXexcCritical5 2 2 4 3" xfId="45849" xr:uid="{00000000-0005-0000-0000-0000B2B30000}"/>
    <cellStyle name="SAPBEXexcCritical5 2 2 5" xfId="45850" xr:uid="{00000000-0005-0000-0000-0000B3B30000}"/>
    <cellStyle name="SAPBEXexcCritical5 2 2 5 2" xfId="45851" xr:uid="{00000000-0005-0000-0000-0000B4B30000}"/>
    <cellStyle name="SAPBEXexcCritical5 2 2 6" xfId="45852" xr:uid="{00000000-0005-0000-0000-0000B5B30000}"/>
    <cellStyle name="SAPBEXexcCritical5 2 3" xfId="45853" xr:uid="{00000000-0005-0000-0000-0000B6B30000}"/>
    <cellStyle name="SAPBEXexcCritical5 2 3 2" xfId="45854" xr:uid="{00000000-0005-0000-0000-0000B7B30000}"/>
    <cellStyle name="SAPBEXexcCritical5 2 3 2 2" xfId="45855" xr:uid="{00000000-0005-0000-0000-0000B8B30000}"/>
    <cellStyle name="SAPBEXexcCritical5 2 3 3" xfId="45856" xr:uid="{00000000-0005-0000-0000-0000B9B30000}"/>
    <cellStyle name="SAPBEXexcCritical5 2 4" xfId="45857" xr:uid="{00000000-0005-0000-0000-0000BAB30000}"/>
    <cellStyle name="SAPBEXexcCritical5 2 4 2" xfId="45858" xr:uid="{00000000-0005-0000-0000-0000BBB30000}"/>
    <cellStyle name="SAPBEXexcCritical5 2 4 2 2" xfId="45859" xr:uid="{00000000-0005-0000-0000-0000BCB30000}"/>
    <cellStyle name="SAPBEXexcCritical5 2 4 3" xfId="45860" xr:uid="{00000000-0005-0000-0000-0000BDB30000}"/>
    <cellStyle name="SAPBEXexcCritical5 2 5" xfId="45861" xr:uid="{00000000-0005-0000-0000-0000BEB30000}"/>
    <cellStyle name="SAPBEXexcCritical5 2 5 2" xfId="45862" xr:uid="{00000000-0005-0000-0000-0000BFB30000}"/>
    <cellStyle name="SAPBEXexcCritical5 2 5 2 2" xfId="45863" xr:uid="{00000000-0005-0000-0000-0000C0B30000}"/>
    <cellStyle name="SAPBEXexcCritical5 2 5 3" xfId="45864" xr:uid="{00000000-0005-0000-0000-0000C1B30000}"/>
    <cellStyle name="SAPBEXexcCritical5 2 6" xfId="45865" xr:uid="{00000000-0005-0000-0000-0000C2B30000}"/>
    <cellStyle name="SAPBEXexcCritical5 2 6 2" xfId="45866" xr:uid="{00000000-0005-0000-0000-0000C3B30000}"/>
    <cellStyle name="SAPBEXexcCritical5 2 7" xfId="45867" xr:uid="{00000000-0005-0000-0000-0000C4B30000}"/>
    <cellStyle name="SAPBEXexcCritical5 3" xfId="45868" xr:uid="{00000000-0005-0000-0000-0000C5B30000}"/>
    <cellStyle name="SAPBEXexcCritical5 3 2" xfId="45869" xr:uid="{00000000-0005-0000-0000-0000C6B30000}"/>
    <cellStyle name="SAPBEXexcCritical5 3 2 2" xfId="45870" xr:uid="{00000000-0005-0000-0000-0000C7B30000}"/>
    <cellStyle name="SAPBEXexcCritical5 3 3" xfId="45871" xr:uid="{00000000-0005-0000-0000-0000C8B30000}"/>
    <cellStyle name="SAPBEXexcCritical5 3 3 2" xfId="45872" xr:uid="{00000000-0005-0000-0000-0000C9B30000}"/>
    <cellStyle name="SAPBEXexcCritical5 3 3 2 2" xfId="45873" xr:uid="{00000000-0005-0000-0000-0000CAB30000}"/>
    <cellStyle name="SAPBEXexcCritical5 3 3 3" xfId="45874" xr:uid="{00000000-0005-0000-0000-0000CBB30000}"/>
    <cellStyle name="SAPBEXexcCritical5 3 4" xfId="45875" xr:uid="{00000000-0005-0000-0000-0000CCB30000}"/>
    <cellStyle name="SAPBEXexcCritical5 3 4 2" xfId="45876" xr:uid="{00000000-0005-0000-0000-0000CDB30000}"/>
    <cellStyle name="SAPBEXexcCritical5 3 4 2 2" xfId="45877" xr:uid="{00000000-0005-0000-0000-0000CEB30000}"/>
    <cellStyle name="SAPBEXexcCritical5 3 4 3" xfId="45878" xr:uid="{00000000-0005-0000-0000-0000CFB30000}"/>
    <cellStyle name="SAPBEXexcCritical5 3 5" xfId="45879" xr:uid="{00000000-0005-0000-0000-0000D0B30000}"/>
    <cellStyle name="SAPBEXexcCritical5 4" xfId="45880" xr:uid="{00000000-0005-0000-0000-0000D1B30000}"/>
    <cellStyle name="SAPBEXexcCritical5 4 2" xfId="45881" xr:uid="{00000000-0005-0000-0000-0000D2B30000}"/>
    <cellStyle name="SAPBEXexcCritical5 4 2 2" xfId="45882" xr:uid="{00000000-0005-0000-0000-0000D3B30000}"/>
    <cellStyle name="SAPBEXexcCritical5 4 2 2 2" xfId="45883" xr:uid="{00000000-0005-0000-0000-0000D4B30000}"/>
    <cellStyle name="SAPBEXexcCritical5 4 2 3" xfId="45884" xr:uid="{00000000-0005-0000-0000-0000D5B30000}"/>
    <cellStyle name="SAPBEXexcCritical5 4 2 3 2" xfId="45885" xr:uid="{00000000-0005-0000-0000-0000D6B30000}"/>
    <cellStyle name="SAPBEXexcCritical5 4 2 3 2 2" xfId="45886" xr:uid="{00000000-0005-0000-0000-0000D7B30000}"/>
    <cellStyle name="SAPBEXexcCritical5 4 2 3 3" xfId="45887" xr:uid="{00000000-0005-0000-0000-0000D8B30000}"/>
    <cellStyle name="SAPBEXexcCritical5 4 2 4" xfId="45888" xr:uid="{00000000-0005-0000-0000-0000D9B30000}"/>
    <cellStyle name="SAPBEXexcCritical5 4 3" xfId="45889" xr:uid="{00000000-0005-0000-0000-0000DAB30000}"/>
    <cellStyle name="SAPBEXexcCritical5 4 3 2" xfId="45890" xr:uid="{00000000-0005-0000-0000-0000DBB30000}"/>
    <cellStyle name="SAPBEXexcCritical5 4 3 2 2" xfId="45891" xr:uid="{00000000-0005-0000-0000-0000DCB30000}"/>
    <cellStyle name="SAPBEXexcCritical5 4 3 3" xfId="45892" xr:uid="{00000000-0005-0000-0000-0000DDB30000}"/>
    <cellStyle name="SAPBEXexcCritical5 4 4" xfId="45893" xr:uid="{00000000-0005-0000-0000-0000DEB30000}"/>
    <cellStyle name="SAPBEXexcCritical5 4 4 2" xfId="45894" xr:uid="{00000000-0005-0000-0000-0000DFB30000}"/>
    <cellStyle name="SAPBEXexcCritical5 4 4 2 2" xfId="45895" xr:uid="{00000000-0005-0000-0000-0000E0B30000}"/>
    <cellStyle name="SAPBEXexcCritical5 4 4 3" xfId="45896" xr:uid="{00000000-0005-0000-0000-0000E1B30000}"/>
    <cellStyle name="SAPBEXexcCritical5 4 5" xfId="45897" xr:uid="{00000000-0005-0000-0000-0000E2B30000}"/>
    <cellStyle name="SAPBEXexcCritical5 4 5 2" xfId="45898" xr:uid="{00000000-0005-0000-0000-0000E3B30000}"/>
    <cellStyle name="SAPBEXexcCritical5 4 5 2 2" xfId="45899" xr:uid="{00000000-0005-0000-0000-0000E4B30000}"/>
    <cellStyle name="SAPBEXexcCritical5 4 5 3" xfId="45900" xr:uid="{00000000-0005-0000-0000-0000E5B30000}"/>
    <cellStyle name="SAPBEXexcCritical5 4 6" xfId="45901" xr:uid="{00000000-0005-0000-0000-0000E6B30000}"/>
    <cellStyle name="SAPBEXexcCritical5 5" xfId="45902" xr:uid="{00000000-0005-0000-0000-0000E7B30000}"/>
    <cellStyle name="SAPBEXexcCritical5 5 2" xfId="45903" xr:uid="{00000000-0005-0000-0000-0000E8B30000}"/>
    <cellStyle name="SAPBEXexcCritical5 5 2 2" xfId="45904" xr:uid="{00000000-0005-0000-0000-0000E9B30000}"/>
    <cellStyle name="SAPBEXexcCritical5 5 3" xfId="45905" xr:uid="{00000000-0005-0000-0000-0000EAB30000}"/>
    <cellStyle name="SAPBEXexcCritical5 6" xfId="45906" xr:uid="{00000000-0005-0000-0000-0000EBB30000}"/>
    <cellStyle name="SAPBEXexcCritical5 6 2" xfId="45907" xr:uid="{00000000-0005-0000-0000-0000ECB30000}"/>
    <cellStyle name="SAPBEXexcCritical5 6 2 2" xfId="45908" xr:uid="{00000000-0005-0000-0000-0000EDB30000}"/>
    <cellStyle name="SAPBEXexcCritical5 6 3" xfId="45909" xr:uid="{00000000-0005-0000-0000-0000EEB30000}"/>
    <cellStyle name="SAPBEXexcCritical5 7" xfId="45910" xr:uid="{00000000-0005-0000-0000-0000EFB30000}"/>
    <cellStyle name="SAPBEXexcCritical5 7 2" xfId="45911" xr:uid="{00000000-0005-0000-0000-0000F0B30000}"/>
    <cellStyle name="SAPBEXexcCritical5 7 2 2" xfId="45912" xr:uid="{00000000-0005-0000-0000-0000F1B30000}"/>
    <cellStyle name="SAPBEXexcCritical5 7 3" xfId="45913" xr:uid="{00000000-0005-0000-0000-0000F2B30000}"/>
    <cellStyle name="SAPBEXexcCritical5 8" xfId="45914" xr:uid="{00000000-0005-0000-0000-0000F3B30000}"/>
    <cellStyle name="SAPBEXexcCritical5 8 2" xfId="45915" xr:uid="{00000000-0005-0000-0000-0000F4B30000}"/>
    <cellStyle name="SAPBEXexcCritical5 9" xfId="45916" xr:uid="{00000000-0005-0000-0000-0000F5B30000}"/>
    <cellStyle name="SAPBEXexcCritical5 9 2" xfId="45917" xr:uid="{00000000-0005-0000-0000-0000F6B30000}"/>
    <cellStyle name="SAPBEXexcCritical6" xfId="50" xr:uid="{00000000-0005-0000-0000-0000F7B30000}"/>
    <cellStyle name="SAPBEXexcCritical6 10" xfId="45918" xr:uid="{00000000-0005-0000-0000-0000F8B30000}"/>
    <cellStyle name="SAPBEXexcCritical6 10 2" xfId="45919" xr:uid="{00000000-0005-0000-0000-0000F9B30000}"/>
    <cellStyle name="SAPBEXexcCritical6 11" xfId="45920" xr:uid="{00000000-0005-0000-0000-0000FAB30000}"/>
    <cellStyle name="SAPBEXexcCritical6 11 2" xfId="45921" xr:uid="{00000000-0005-0000-0000-0000FBB30000}"/>
    <cellStyle name="SAPBEXexcCritical6 12" xfId="45922" xr:uid="{00000000-0005-0000-0000-0000FCB30000}"/>
    <cellStyle name="SAPBEXexcCritical6 12 2" xfId="45923" xr:uid="{00000000-0005-0000-0000-0000FDB30000}"/>
    <cellStyle name="SAPBEXexcCritical6 13" xfId="45924" xr:uid="{00000000-0005-0000-0000-0000FEB30000}"/>
    <cellStyle name="SAPBEXexcCritical6 14" xfId="45925" xr:uid="{00000000-0005-0000-0000-0000FFB30000}"/>
    <cellStyle name="SAPBEXexcCritical6 2" xfId="45926" xr:uid="{00000000-0005-0000-0000-000000B40000}"/>
    <cellStyle name="SAPBEXexcCritical6 2 2" xfId="45927" xr:uid="{00000000-0005-0000-0000-000001B40000}"/>
    <cellStyle name="SAPBEXexcCritical6 2 2 2" xfId="45928" xr:uid="{00000000-0005-0000-0000-000002B40000}"/>
    <cellStyle name="SAPBEXexcCritical6 2 2 2 2" xfId="45929" xr:uid="{00000000-0005-0000-0000-000003B40000}"/>
    <cellStyle name="SAPBEXexcCritical6 2 2 2 2 2" xfId="45930" xr:uid="{00000000-0005-0000-0000-000004B40000}"/>
    <cellStyle name="SAPBEXexcCritical6 2 2 2 2 2 2" xfId="45931" xr:uid="{00000000-0005-0000-0000-000005B40000}"/>
    <cellStyle name="SAPBEXexcCritical6 2 2 2 2 3" xfId="45932" xr:uid="{00000000-0005-0000-0000-000006B40000}"/>
    <cellStyle name="SAPBEXexcCritical6 2 2 2 3" xfId="45933" xr:uid="{00000000-0005-0000-0000-000007B40000}"/>
    <cellStyle name="SAPBEXexcCritical6 2 2 2 3 2" xfId="45934" xr:uid="{00000000-0005-0000-0000-000008B40000}"/>
    <cellStyle name="SAPBEXexcCritical6 2 2 2 4" xfId="45935" xr:uid="{00000000-0005-0000-0000-000009B40000}"/>
    <cellStyle name="SAPBEXexcCritical6 2 2 3" xfId="45936" xr:uid="{00000000-0005-0000-0000-00000AB40000}"/>
    <cellStyle name="SAPBEXexcCritical6 2 2 3 2" xfId="45937" xr:uid="{00000000-0005-0000-0000-00000BB40000}"/>
    <cellStyle name="SAPBEXexcCritical6 2 2 3 2 2" xfId="45938" xr:uid="{00000000-0005-0000-0000-00000CB40000}"/>
    <cellStyle name="SAPBEXexcCritical6 2 2 3 3" xfId="45939" xr:uid="{00000000-0005-0000-0000-00000DB40000}"/>
    <cellStyle name="SAPBEXexcCritical6 2 2 4" xfId="45940" xr:uid="{00000000-0005-0000-0000-00000EB40000}"/>
    <cellStyle name="SAPBEXexcCritical6 2 2 4 2" xfId="45941" xr:uid="{00000000-0005-0000-0000-00000FB40000}"/>
    <cellStyle name="SAPBEXexcCritical6 2 2 4 2 2" xfId="45942" xr:uid="{00000000-0005-0000-0000-000010B40000}"/>
    <cellStyle name="SAPBEXexcCritical6 2 2 4 3" xfId="45943" xr:uid="{00000000-0005-0000-0000-000011B40000}"/>
    <cellStyle name="SAPBEXexcCritical6 2 2 5" xfId="45944" xr:uid="{00000000-0005-0000-0000-000012B40000}"/>
    <cellStyle name="SAPBEXexcCritical6 2 2 5 2" xfId="45945" xr:uid="{00000000-0005-0000-0000-000013B40000}"/>
    <cellStyle name="SAPBEXexcCritical6 2 2 6" xfId="45946" xr:uid="{00000000-0005-0000-0000-000014B40000}"/>
    <cellStyle name="SAPBEXexcCritical6 2 3" xfId="45947" xr:uid="{00000000-0005-0000-0000-000015B40000}"/>
    <cellStyle name="SAPBEXexcCritical6 2 3 2" xfId="45948" xr:uid="{00000000-0005-0000-0000-000016B40000}"/>
    <cellStyle name="SAPBEXexcCritical6 2 3 2 2" xfId="45949" xr:uid="{00000000-0005-0000-0000-000017B40000}"/>
    <cellStyle name="SAPBEXexcCritical6 2 3 3" xfId="45950" xr:uid="{00000000-0005-0000-0000-000018B40000}"/>
    <cellStyle name="SAPBEXexcCritical6 2 4" xfId="45951" xr:uid="{00000000-0005-0000-0000-000019B40000}"/>
    <cellStyle name="SAPBEXexcCritical6 2 4 2" xfId="45952" xr:uid="{00000000-0005-0000-0000-00001AB40000}"/>
    <cellStyle name="SAPBEXexcCritical6 2 4 2 2" xfId="45953" xr:uid="{00000000-0005-0000-0000-00001BB40000}"/>
    <cellStyle name="SAPBEXexcCritical6 2 4 3" xfId="45954" xr:uid="{00000000-0005-0000-0000-00001CB40000}"/>
    <cellStyle name="SAPBEXexcCritical6 2 5" xfId="45955" xr:uid="{00000000-0005-0000-0000-00001DB40000}"/>
    <cellStyle name="SAPBEXexcCritical6 2 5 2" xfId="45956" xr:uid="{00000000-0005-0000-0000-00001EB40000}"/>
    <cellStyle name="SAPBEXexcCritical6 2 5 2 2" xfId="45957" xr:uid="{00000000-0005-0000-0000-00001FB40000}"/>
    <cellStyle name="SAPBEXexcCritical6 2 5 3" xfId="45958" xr:uid="{00000000-0005-0000-0000-000020B40000}"/>
    <cellStyle name="SAPBEXexcCritical6 2 6" xfId="45959" xr:uid="{00000000-0005-0000-0000-000021B40000}"/>
    <cellStyle name="SAPBEXexcCritical6 2 6 2" xfId="45960" xr:uid="{00000000-0005-0000-0000-000022B40000}"/>
    <cellStyle name="SAPBEXexcCritical6 2 7" xfId="45961" xr:uid="{00000000-0005-0000-0000-000023B40000}"/>
    <cellStyle name="SAPBEXexcCritical6 3" xfId="45962" xr:uid="{00000000-0005-0000-0000-000024B40000}"/>
    <cellStyle name="SAPBEXexcCritical6 3 2" xfId="45963" xr:uid="{00000000-0005-0000-0000-000025B40000}"/>
    <cellStyle name="SAPBEXexcCritical6 3 2 2" xfId="45964" xr:uid="{00000000-0005-0000-0000-000026B40000}"/>
    <cellStyle name="SAPBEXexcCritical6 3 3" xfId="45965" xr:uid="{00000000-0005-0000-0000-000027B40000}"/>
    <cellStyle name="SAPBEXexcCritical6 3 3 2" xfId="45966" xr:uid="{00000000-0005-0000-0000-000028B40000}"/>
    <cellStyle name="SAPBEXexcCritical6 3 3 2 2" xfId="45967" xr:uid="{00000000-0005-0000-0000-000029B40000}"/>
    <cellStyle name="SAPBEXexcCritical6 3 3 3" xfId="45968" xr:uid="{00000000-0005-0000-0000-00002AB40000}"/>
    <cellStyle name="SAPBEXexcCritical6 3 4" xfId="45969" xr:uid="{00000000-0005-0000-0000-00002BB40000}"/>
    <cellStyle name="SAPBEXexcCritical6 3 4 2" xfId="45970" xr:uid="{00000000-0005-0000-0000-00002CB40000}"/>
    <cellStyle name="SAPBEXexcCritical6 3 4 2 2" xfId="45971" xr:uid="{00000000-0005-0000-0000-00002DB40000}"/>
    <cellStyle name="SAPBEXexcCritical6 3 4 3" xfId="45972" xr:uid="{00000000-0005-0000-0000-00002EB40000}"/>
    <cellStyle name="SAPBEXexcCritical6 3 5" xfId="45973" xr:uid="{00000000-0005-0000-0000-00002FB40000}"/>
    <cellStyle name="SAPBEXexcCritical6 4" xfId="45974" xr:uid="{00000000-0005-0000-0000-000030B40000}"/>
    <cellStyle name="SAPBEXexcCritical6 4 2" xfId="45975" xr:uid="{00000000-0005-0000-0000-000031B40000}"/>
    <cellStyle name="SAPBEXexcCritical6 4 2 2" xfId="45976" xr:uid="{00000000-0005-0000-0000-000032B40000}"/>
    <cellStyle name="SAPBEXexcCritical6 4 2 2 2" xfId="45977" xr:uid="{00000000-0005-0000-0000-000033B40000}"/>
    <cellStyle name="SAPBEXexcCritical6 4 2 3" xfId="45978" xr:uid="{00000000-0005-0000-0000-000034B40000}"/>
    <cellStyle name="SAPBEXexcCritical6 4 2 3 2" xfId="45979" xr:uid="{00000000-0005-0000-0000-000035B40000}"/>
    <cellStyle name="SAPBEXexcCritical6 4 2 3 2 2" xfId="45980" xr:uid="{00000000-0005-0000-0000-000036B40000}"/>
    <cellStyle name="SAPBEXexcCritical6 4 2 3 3" xfId="45981" xr:uid="{00000000-0005-0000-0000-000037B40000}"/>
    <cellStyle name="SAPBEXexcCritical6 4 2 4" xfId="45982" xr:uid="{00000000-0005-0000-0000-000038B40000}"/>
    <cellStyle name="SAPBEXexcCritical6 4 3" xfId="45983" xr:uid="{00000000-0005-0000-0000-000039B40000}"/>
    <cellStyle name="SAPBEXexcCritical6 4 3 2" xfId="45984" xr:uid="{00000000-0005-0000-0000-00003AB40000}"/>
    <cellStyle name="SAPBEXexcCritical6 4 3 2 2" xfId="45985" xr:uid="{00000000-0005-0000-0000-00003BB40000}"/>
    <cellStyle name="SAPBEXexcCritical6 4 3 3" xfId="45986" xr:uid="{00000000-0005-0000-0000-00003CB40000}"/>
    <cellStyle name="SAPBEXexcCritical6 4 4" xfId="45987" xr:uid="{00000000-0005-0000-0000-00003DB40000}"/>
    <cellStyle name="SAPBEXexcCritical6 4 4 2" xfId="45988" xr:uid="{00000000-0005-0000-0000-00003EB40000}"/>
    <cellStyle name="SAPBEXexcCritical6 4 4 2 2" xfId="45989" xr:uid="{00000000-0005-0000-0000-00003FB40000}"/>
    <cellStyle name="SAPBEXexcCritical6 4 4 3" xfId="45990" xr:uid="{00000000-0005-0000-0000-000040B40000}"/>
    <cellStyle name="SAPBEXexcCritical6 4 5" xfId="45991" xr:uid="{00000000-0005-0000-0000-000041B40000}"/>
    <cellStyle name="SAPBEXexcCritical6 4 5 2" xfId="45992" xr:uid="{00000000-0005-0000-0000-000042B40000}"/>
    <cellStyle name="SAPBEXexcCritical6 4 5 2 2" xfId="45993" xr:uid="{00000000-0005-0000-0000-000043B40000}"/>
    <cellStyle name="SAPBEXexcCritical6 4 5 3" xfId="45994" xr:uid="{00000000-0005-0000-0000-000044B40000}"/>
    <cellStyle name="SAPBEXexcCritical6 4 6" xfId="45995" xr:uid="{00000000-0005-0000-0000-000045B40000}"/>
    <cellStyle name="SAPBEXexcCritical6 5" xfId="45996" xr:uid="{00000000-0005-0000-0000-000046B40000}"/>
    <cellStyle name="SAPBEXexcCritical6 5 2" xfId="45997" xr:uid="{00000000-0005-0000-0000-000047B40000}"/>
    <cellStyle name="SAPBEXexcCritical6 5 2 2" xfId="45998" xr:uid="{00000000-0005-0000-0000-000048B40000}"/>
    <cellStyle name="SAPBEXexcCritical6 5 3" xfId="45999" xr:uid="{00000000-0005-0000-0000-000049B40000}"/>
    <cellStyle name="SAPBEXexcCritical6 6" xfId="46000" xr:uid="{00000000-0005-0000-0000-00004AB40000}"/>
    <cellStyle name="SAPBEXexcCritical6 6 2" xfId="46001" xr:uid="{00000000-0005-0000-0000-00004BB40000}"/>
    <cellStyle name="SAPBEXexcCritical6 6 2 2" xfId="46002" xr:uid="{00000000-0005-0000-0000-00004CB40000}"/>
    <cellStyle name="SAPBEXexcCritical6 6 3" xfId="46003" xr:uid="{00000000-0005-0000-0000-00004DB40000}"/>
    <cellStyle name="SAPBEXexcCritical6 7" xfId="46004" xr:uid="{00000000-0005-0000-0000-00004EB40000}"/>
    <cellStyle name="SAPBEXexcCritical6 7 2" xfId="46005" xr:uid="{00000000-0005-0000-0000-00004FB40000}"/>
    <cellStyle name="SAPBEXexcCritical6 7 2 2" xfId="46006" xr:uid="{00000000-0005-0000-0000-000050B40000}"/>
    <cellStyle name="SAPBEXexcCritical6 7 3" xfId="46007" xr:uid="{00000000-0005-0000-0000-000051B40000}"/>
    <cellStyle name="SAPBEXexcCritical6 8" xfId="46008" xr:uid="{00000000-0005-0000-0000-000052B40000}"/>
    <cellStyle name="SAPBEXexcCritical6 8 2" xfId="46009" xr:uid="{00000000-0005-0000-0000-000053B40000}"/>
    <cellStyle name="SAPBEXexcCritical6 9" xfId="46010" xr:uid="{00000000-0005-0000-0000-000054B40000}"/>
    <cellStyle name="SAPBEXexcCritical6 9 2" xfId="46011" xr:uid="{00000000-0005-0000-0000-000055B40000}"/>
    <cellStyle name="SAPBEXexcGood1" xfId="51" xr:uid="{00000000-0005-0000-0000-000056B40000}"/>
    <cellStyle name="SAPBEXexcGood1 10" xfId="46012" xr:uid="{00000000-0005-0000-0000-000057B40000}"/>
    <cellStyle name="SAPBEXexcGood1 10 2" xfId="46013" xr:uid="{00000000-0005-0000-0000-000058B40000}"/>
    <cellStyle name="SAPBEXexcGood1 11" xfId="46014" xr:uid="{00000000-0005-0000-0000-000059B40000}"/>
    <cellStyle name="SAPBEXexcGood1 11 2" xfId="46015" xr:uid="{00000000-0005-0000-0000-00005AB40000}"/>
    <cellStyle name="SAPBEXexcGood1 12" xfId="46016" xr:uid="{00000000-0005-0000-0000-00005BB40000}"/>
    <cellStyle name="SAPBEXexcGood1 12 2" xfId="46017" xr:uid="{00000000-0005-0000-0000-00005CB40000}"/>
    <cellStyle name="SAPBEXexcGood1 13" xfId="46018" xr:uid="{00000000-0005-0000-0000-00005DB40000}"/>
    <cellStyle name="SAPBEXexcGood1 14" xfId="46019" xr:uid="{00000000-0005-0000-0000-00005EB40000}"/>
    <cellStyle name="SAPBEXexcGood1 2" xfId="46020" xr:uid="{00000000-0005-0000-0000-00005FB40000}"/>
    <cellStyle name="SAPBEXexcGood1 2 2" xfId="46021" xr:uid="{00000000-0005-0000-0000-000060B40000}"/>
    <cellStyle name="SAPBEXexcGood1 2 2 2" xfId="46022" xr:uid="{00000000-0005-0000-0000-000061B40000}"/>
    <cellStyle name="SAPBEXexcGood1 2 2 2 2" xfId="46023" xr:uid="{00000000-0005-0000-0000-000062B40000}"/>
    <cellStyle name="SAPBEXexcGood1 2 2 2 2 2" xfId="46024" xr:uid="{00000000-0005-0000-0000-000063B40000}"/>
    <cellStyle name="SAPBEXexcGood1 2 2 2 2 2 2" xfId="46025" xr:uid="{00000000-0005-0000-0000-000064B40000}"/>
    <cellStyle name="SAPBEXexcGood1 2 2 2 2 3" xfId="46026" xr:uid="{00000000-0005-0000-0000-000065B40000}"/>
    <cellStyle name="SAPBEXexcGood1 2 2 2 3" xfId="46027" xr:uid="{00000000-0005-0000-0000-000066B40000}"/>
    <cellStyle name="SAPBEXexcGood1 2 2 2 3 2" xfId="46028" xr:uid="{00000000-0005-0000-0000-000067B40000}"/>
    <cellStyle name="SAPBEXexcGood1 2 2 2 4" xfId="46029" xr:uid="{00000000-0005-0000-0000-000068B40000}"/>
    <cellStyle name="SAPBEXexcGood1 2 2 3" xfId="46030" xr:uid="{00000000-0005-0000-0000-000069B40000}"/>
    <cellStyle name="SAPBEXexcGood1 2 2 3 2" xfId="46031" xr:uid="{00000000-0005-0000-0000-00006AB40000}"/>
    <cellStyle name="SAPBEXexcGood1 2 2 3 2 2" xfId="46032" xr:uid="{00000000-0005-0000-0000-00006BB40000}"/>
    <cellStyle name="SAPBEXexcGood1 2 2 3 3" xfId="46033" xr:uid="{00000000-0005-0000-0000-00006CB40000}"/>
    <cellStyle name="SAPBEXexcGood1 2 2 4" xfId="46034" xr:uid="{00000000-0005-0000-0000-00006DB40000}"/>
    <cellStyle name="SAPBEXexcGood1 2 2 4 2" xfId="46035" xr:uid="{00000000-0005-0000-0000-00006EB40000}"/>
    <cellStyle name="SAPBEXexcGood1 2 2 4 2 2" xfId="46036" xr:uid="{00000000-0005-0000-0000-00006FB40000}"/>
    <cellStyle name="SAPBEXexcGood1 2 2 4 3" xfId="46037" xr:uid="{00000000-0005-0000-0000-000070B40000}"/>
    <cellStyle name="SAPBEXexcGood1 2 2 5" xfId="46038" xr:uid="{00000000-0005-0000-0000-000071B40000}"/>
    <cellStyle name="SAPBEXexcGood1 2 2 5 2" xfId="46039" xr:uid="{00000000-0005-0000-0000-000072B40000}"/>
    <cellStyle name="SAPBEXexcGood1 2 2 6" xfId="46040" xr:uid="{00000000-0005-0000-0000-000073B40000}"/>
    <cellStyle name="SAPBEXexcGood1 2 3" xfId="46041" xr:uid="{00000000-0005-0000-0000-000074B40000}"/>
    <cellStyle name="SAPBEXexcGood1 2 3 2" xfId="46042" xr:uid="{00000000-0005-0000-0000-000075B40000}"/>
    <cellStyle name="SAPBEXexcGood1 2 3 2 2" xfId="46043" xr:uid="{00000000-0005-0000-0000-000076B40000}"/>
    <cellStyle name="SAPBEXexcGood1 2 3 3" xfId="46044" xr:uid="{00000000-0005-0000-0000-000077B40000}"/>
    <cellStyle name="SAPBEXexcGood1 2 4" xfId="46045" xr:uid="{00000000-0005-0000-0000-000078B40000}"/>
    <cellStyle name="SAPBEXexcGood1 2 4 2" xfId="46046" xr:uid="{00000000-0005-0000-0000-000079B40000}"/>
    <cellStyle name="SAPBEXexcGood1 2 4 2 2" xfId="46047" xr:uid="{00000000-0005-0000-0000-00007AB40000}"/>
    <cellStyle name="SAPBEXexcGood1 2 4 3" xfId="46048" xr:uid="{00000000-0005-0000-0000-00007BB40000}"/>
    <cellStyle name="SAPBEXexcGood1 2 5" xfId="46049" xr:uid="{00000000-0005-0000-0000-00007CB40000}"/>
    <cellStyle name="SAPBEXexcGood1 2 5 2" xfId="46050" xr:uid="{00000000-0005-0000-0000-00007DB40000}"/>
    <cellStyle name="SAPBEXexcGood1 2 5 2 2" xfId="46051" xr:uid="{00000000-0005-0000-0000-00007EB40000}"/>
    <cellStyle name="SAPBEXexcGood1 2 5 3" xfId="46052" xr:uid="{00000000-0005-0000-0000-00007FB40000}"/>
    <cellStyle name="SAPBEXexcGood1 2 6" xfId="46053" xr:uid="{00000000-0005-0000-0000-000080B40000}"/>
    <cellStyle name="SAPBEXexcGood1 2 6 2" xfId="46054" xr:uid="{00000000-0005-0000-0000-000081B40000}"/>
    <cellStyle name="SAPBEXexcGood1 2 7" xfId="46055" xr:uid="{00000000-0005-0000-0000-000082B40000}"/>
    <cellStyle name="SAPBEXexcGood1 3" xfId="46056" xr:uid="{00000000-0005-0000-0000-000083B40000}"/>
    <cellStyle name="SAPBEXexcGood1 3 2" xfId="46057" xr:uid="{00000000-0005-0000-0000-000084B40000}"/>
    <cellStyle name="SAPBEXexcGood1 3 2 2" xfId="46058" xr:uid="{00000000-0005-0000-0000-000085B40000}"/>
    <cellStyle name="SAPBEXexcGood1 3 3" xfId="46059" xr:uid="{00000000-0005-0000-0000-000086B40000}"/>
    <cellStyle name="SAPBEXexcGood1 3 3 2" xfId="46060" xr:uid="{00000000-0005-0000-0000-000087B40000}"/>
    <cellStyle name="SAPBEXexcGood1 3 3 2 2" xfId="46061" xr:uid="{00000000-0005-0000-0000-000088B40000}"/>
    <cellStyle name="SAPBEXexcGood1 3 3 3" xfId="46062" xr:uid="{00000000-0005-0000-0000-000089B40000}"/>
    <cellStyle name="SAPBEXexcGood1 3 4" xfId="46063" xr:uid="{00000000-0005-0000-0000-00008AB40000}"/>
    <cellStyle name="SAPBEXexcGood1 3 4 2" xfId="46064" xr:uid="{00000000-0005-0000-0000-00008BB40000}"/>
    <cellStyle name="SAPBEXexcGood1 3 4 2 2" xfId="46065" xr:uid="{00000000-0005-0000-0000-00008CB40000}"/>
    <cellStyle name="SAPBEXexcGood1 3 4 3" xfId="46066" xr:uid="{00000000-0005-0000-0000-00008DB40000}"/>
    <cellStyle name="SAPBEXexcGood1 3 5" xfId="46067" xr:uid="{00000000-0005-0000-0000-00008EB40000}"/>
    <cellStyle name="SAPBEXexcGood1 4" xfId="46068" xr:uid="{00000000-0005-0000-0000-00008FB40000}"/>
    <cellStyle name="SAPBEXexcGood1 4 2" xfId="46069" xr:uid="{00000000-0005-0000-0000-000090B40000}"/>
    <cellStyle name="SAPBEXexcGood1 4 2 2" xfId="46070" xr:uid="{00000000-0005-0000-0000-000091B40000}"/>
    <cellStyle name="SAPBEXexcGood1 4 2 2 2" xfId="46071" xr:uid="{00000000-0005-0000-0000-000092B40000}"/>
    <cellStyle name="SAPBEXexcGood1 4 2 3" xfId="46072" xr:uid="{00000000-0005-0000-0000-000093B40000}"/>
    <cellStyle name="SAPBEXexcGood1 4 2 3 2" xfId="46073" xr:uid="{00000000-0005-0000-0000-000094B40000}"/>
    <cellStyle name="SAPBEXexcGood1 4 2 3 2 2" xfId="46074" xr:uid="{00000000-0005-0000-0000-000095B40000}"/>
    <cellStyle name="SAPBEXexcGood1 4 2 3 3" xfId="46075" xr:uid="{00000000-0005-0000-0000-000096B40000}"/>
    <cellStyle name="SAPBEXexcGood1 4 2 4" xfId="46076" xr:uid="{00000000-0005-0000-0000-000097B40000}"/>
    <cellStyle name="SAPBEXexcGood1 4 3" xfId="46077" xr:uid="{00000000-0005-0000-0000-000098B40000}"/>
    <cellStyle name="SAPBEXexcGood1 4 3 2" xfId="46078" xr:uid="{00000000-0005-0000-0000-000099B40000}"/>
    <cellStyle name="SAPBEXexcGood1 4 3 2 2" xfId="46079" xr:uid="{00000000-0005-0000-0000-00009AB40000}"/>
    <cellStyle name="SAPBEXexcGood1 4 3 3" xfId="46080" xr:uid="{00000000-0005-0000-0000-00009BB40000}"/>
    <cellStyle name="SAPBEXexcGood1 4 4" xfId="46081" xr:uid="{00000000-0005-0000-0000-00009CB40000}"/>
    <cellStyle name="SAPBEXexcGood1 4 4 2" xfId="46082" xr:uid="{00000000-0005-0000-0000-00009DB40000}"/>
    <cellStyle name="SAPBEXexcGood1 4 4 2 2" xfId="46083" xr:uid="{00000000-0005-0000-0000-00009EB40000}"/>
    <cellStyle name="SAPBEXexcGood1 4 4 3" xfId="46084" xr:uid="{00000000-0005-0000-0000-00009FB40000}"/>
    <cellStyle name="SAPBEXexcGood1 4 5" xfId="46085" xr:uid="{00000000-0005-0000-0000-0000A0B40000}"/>
    <cellStyle name="SAPBEXexcGood1 4 5 2" xfId="46086" xr:uid="{00000000-0005-0000-0000-0000A1B40000}"/>
    <cellStyle name="SAPBEXexcGood1 4 5 2 2" xfId="46087" xr:uid="{00000000-0005-0000-0000-0000A2B40000}"/>
    <cellStyle name="SAPBEXexcGood1 4 5 3" xfId="46088" xr:uid="{00000000-0005-0000-0000-0000A3B40000}"/>
    <cellStyle name="SAPBEXexcGood1 4 6" xfId="46089" xr:uid="{00000000-0005-0000-0000-0000A4B40000}"/>
    <cellStyle name="SAPBEXexcGood1 5" xfId="46090" xr:uid="{00000000-0005-0000-0000-0000A5B40000}"/>
    <cellStyle name="SAPBEXexcGood1 5 2" xfId="46091" xr:uid="{00000000-0005-0000-0000-0000A6B40000}"/>
    <cellStyle name="SAPBEXexcGood1 5 2 2" xfId="46092" xr:uid="{00000000-0005-0000-0000-0000A7B40000}"/>
    <cellStyle name="SAPBEXexcGood1 5 3" xfId="46093" xr:uid="{00000000-0005-0000-0000-0000A8B40000}"/>
    <cellStyle name="SAPBEXexcGood1 6" xfId="46094" xr:uid="{00000000-0005-0000-0000-0000A9B40000}"/>
    <cellStyle name="SAPBEXexcGood1 6 2" xfId="46095" xr:uid="{00000000-0005-0000-0000-0000AAB40000}"/>
    <cellStyle name="SAPBEXexcGood1 6 2 2" xfId="46096" xr:uid="{00000000-0005-0000-0000-0000ABB40000}"/>
    <cellStyle name="SAPBEXexcGood1 6 3" xfId="46097" xr:uid="{00000000-0005-0000-0000-0000ACB40000}"/>
    <cellStyle name="SAPBEXexcGood1 7" xfId="46098" xr:uid="{00000000-0005-0000-0000-0000ADB40000}"/>
    <cellStyle name="SAPBEXexcGood1 7 2" xfId="46099" xr:uid="{00000000-0005-0000-0000-0000AEB40000}"/>
    <cellStyle name="SAPBEXexcGood1 7 2 2" xfId="46100" xr:uid="{00000000-0005-0000-0000-0000AFB40000}"/>
    <cellStyle name="SAPBEXexcGood1 7 3" xfId="46101" xr:uid="{00000000-0005-0000-0000-0000B0B40000}"/>
    <cellStyle name="SAPBEXexcGood1 8" xfId="46102" xr:uid="{00000000-0005-0000-0000-0000B1B40000}"/>
    <cellStyle name="SAPBEXexcGood1 8 2" xfId="46103" xr:uid="{00000000-0005-0000-0000-0000B2B40000}"/>
    <cellStyle name="SAPBEXexcGood1 9" xfId="46104" xr:uid="{00000000-0005-0000-0000-0000B3B40000}"/>
    <cellStyle name="SAPBEXexcGood1 9 2" xfId="46105" xr:uid="{00000000-0005-0000-0000-0000B4B40000}"/>
    <cellStyle name="SAPBEXexcGood2" xfId="52" xr:uid="{00000000-0005-0000-0000-0000B5B40000}"/>
    <cellStyle name="SAPBEXexcGood2 10" xfId="46106" xr:uid="{00000000-0005-0000-0000-0000B6B40000}"/>
    <cellStyle name="SAPBEXexcGood2 10 2" xfId="46107" xr:uid="{00000000-0005-0000-0000-0000B7B40000}"/>
    <cellStyle name="SAPBEXexcGood2 11" xfId="46108" xr:uid="{00000000-0005-0000-0000-0000B8B40000}"/>
    <cellStyle name="SAPBEXexcGood2 11 2" xfId="46109" xr:uid="{00000000-0005-0000-0000-0000B9B40000}"/>
    <cellStyle name="SAPBEXexcGood2 12" xfId="46110" xr:uid="{00000000-0005-0000-0000-0000BAB40000}"/>
    <cellStyle name="SAPBEXexcGood2 12 2" xfId="46111" xr:uid="{00000000-0005-0000-0000-0000BBB40000}"/>
    <cellStyle name="SAPBEXexcGood2 13" xfId="46112" xr:uid="{00000000-0005-0000-0000-0000BCB40000}"/>
    <cellStyle name="SAPBEXexcGood2 14" xfId="46113" xr:uid="{00000000-0005-0000-0000-0000BDB40000}"/>
    <cellStyle name="SAPBEXexcGood2 2" xfId="46114" xr:uid="{00000000-0005-0000-0000-0000BEB40000}"/>
    <cellStyle name="SAPBEXexcGood2 2 2" xfId="46115" xr:uid="{00000000-0005-0000-0000-0000BFB40000}"/>
    <cellStyle name="SAPBEXexcGood2 2 2 2" xfId="46116" xr:uid="{00000000-0005-0000-0000-0000C0B40000}"/>
    <cellStyle name="SAPBEXexcGood2 2 2 2 2" xfId="46117" xr:uid="{00000000-0005-0000-0000-0000C1B40000}"/>
    <cellStyle name="SAPBEXexcGood2 2 2 2 2 2" xfId="46118" xr:uid="{00000000-0005-0000-0000-0000C2B40000}"/>
    <cellStyle name="SAPBEXexcGood2 2 2 2 2 2 2" xfId="46119" xr:uid="{00000000-0005-0000-0000-0000C3B40000}"/>
    <cellStyle name="SAPBEXexcGood2 2 2 2 2 3" xfId="46120" xr:uid="{00000000-0005-0000-0000-0000C4B40000}"/>
    <cellStyle name="SAPBEXexcGood2 2 2 2 3" xfId="46121" xr:uid="{00000000-0005-0000-0000-0000C5B40000}"/>
    <cellStyle name="SAPBEXexcGood2 2 2 2 3 2" xfId="46122" xr:uid="{00000000-0005-0000-0000-0000C6B40000}"/>
    <cellStyle name="SAPBEXexcGood2 2 2 2 4" xfId="46123" xr:uid="{00000000-0005-0000-0000-0000C7B40000}"/>
    <cellStyle name="SAPBEXexcGood2 2 2 3" xfId="46124" xr:uid="{00000000-0005-0000-0000-0000C8B40000}"/>
    <cellStyle name="SAPBEXexcGood2 2 2 3 2" xfId="46125" xr:uid="{00000000-0005-0000-0000-0000C9B40000}"/>
    <cellStyle name="SAPBEXexcGood2 2 2 3 2 2" xfId="46126" xr:uid="{00000000-0005-0000-0000-0000CAB40000}"/>
    <cellStyle name="SAPBEXexcGood2 2 2 3 3" xfId="46127" xr:uid="{00000000-0005-0000-0000-0000CBB40000}"/>
    <cellStyle name="SAPBEXexcGood2 2 2 4" xfId="46128" xr:uid="{00000000-0005-0000-0000-0000CCB40000}"/>
    <cellStyle name="SAPBEXexcGood2 2 2 4 2" xfId="46129" xr:uid="{00000000-0005-0000-0000-0000CDB40000}"/>
    <cellStyle name="SAPBEXexcGood2 2 2 4 2 2" xfId="46130" xr:uid="{00000000-0005-0000-0000-0000CEB40000}"/>
    <cellStyle name="SAPBEXexcGood2 2 2 4 3" xfId="46131" xr:uid="{00000000-0005-0000-0000-0000CFB40000}"/>
    <cellStyle name="SAPBEXexcGood2 2 2 5" xfId="46132" xr:uid="{00000000-0005-0000-0000-0000D0B40000}"/>
    <cellStyle name="SAPBEXexcGood2 2 2 5 2" xfId="46133" xr:uid="{00000000-0005-0000-0000-0000D1B40000}"/>
    <cellStyle name="SAPBEXexcGood2 2 2 6" xfId="46134" xr:uid="{00000000-0005-0000-0000-0000D2B40000}"/>
    <cellStyle name="SAPBEXexcGood2 2 3" xfId="46135" xr:uid="{00000000-0005-0000-0000-0000D3B40000}"/>
    <cellStyle name="SAPBEXexcGood2 2 3 2" xfId="46136" xr:uid="{00000000-0005-0000-0000-0000D4B40000}"/>
    <cellStyle name="SAPBEXexcGood2 2 3 2 2" xfId="46137" xr:uid="{00000000-0005-0000-0000-0000D5B40000}"/>
    <cellStyle name="SAPBEXexcGood2 2 3 3" xfId="46138" xr:uid="{00000000-0005-0000-0000-0000D6B40000}"/>
    <cellStyle name="SAPBEXexcGood2 2 4" xfId="46139" xr:uid="{00000000-0005-0000-0000-0000D7B40000}"/>
    <cellStyle name="SAPBEXexcGood2 2 4 2" xfId="46140" xr:uid="{00000000-0005-0000-0000-0000D8B40000}"/>
    <cellStyle name="SAPBEXexcGood2 2 4 2 2" xfId="46141" xr:uid="{00000000-0005-0000-0000-0000D9B40000}"/>
    <cellStyle name="SAPBEXexcGood2 2 4 3" xfId="46142" xr:uid="{00000000-0005-0000-0000-0000DAB40000}"/>
    <cellStyle name="SAPBEXexcGood2 2 5" xfId="46143" xr:uid="{00000000-0005-0000-0000-0000DBB40000}"/>
    <cellStyle name="SAPBEXexcGood2 2 5 2" xfId="46144" xr:uid="{00000000-0005-0000-0000-0000DCB40000}"/>
    <cellStyle name="SAPBEXexcGood2 2 5 2 2" xfId="46145" xr:uid="{00000000-0005-0000-0000-0000DDB40000}"/>
    <cellStyle name="SAPBEXexcGood2 2 5 3" xfId="46146" xr:uid="{00000000-0005-0000-0000-0000DEB40000}"/>
    <cellStyle name="SAPBEXexcGood2 2 6" xfId="46147" xr:uid="{00000000-0005-0000-0000-0000DFB40000}"/>
    <cellStyle name="SAPBEXexcGood2 2 6 2" xfId="46148" xr:uid="{00000000-0005-0000-0000-0000E0B40000}"/>
    <cellStyle name="SAPBEXexcGood2 2 7" xfId="46149" xr:uid="{00000000-0005-0000-0000-0000E1B40000}"/>
    <cellStyle name="SAPBEXexcGood2 3" xfId="46150" xr:uid="{00000000-0005-0000-0000-0000E2B40000}"/>
    <cellStyle name="SAPBEXexcGood2 3 2" xfId="46151" xr:uid="{00000000-0005-0000-0000-0000E3B40000}"/>
    <cellStyle name="SAPBEXexcGood2 3 2 2" xfId="46152" xr:uid="{00000000-0005-0000-0000-0000E4B40000}"/>
    <cellStyle name="SAPBEXexcGood2 3 3" xfId="46153" xr:uid="{00000000-0005-0000-0000-0000E5B40000}"/>
    <cellStyle name="SAPBEXexcGood2 3 3 2" xfId="46154" xr:uid="{00000000-0005-0000-0000-0000E6B40000}"/>
    <cellStyle name="SAPBEXexcGood2 3 3 2 2" xfId="46155" xr:uid="{00000000-0005-0000-0000-0000E7B40000}"/>
    <cellStyle name="SAPBEXexcGood2 3 3 3" xfId="46156" xr:uid="{00000000-0005-0000-0000-0000E8B40000}"/>
    <cellStyle name="SAPBEXexcGood2 3 4" xfId="46157" xr:uid="{00000000-0005-0000-0000-0000E9B40000}"/>
    <cellStyle name="SAPBEXexcGood2 3 4 2" xfId="46158" xr:uid="{00000000-0005-0000-0000-0000EAB40000}"/>
    <cellStyle name="SAPBEXexcGood2 3 4 2 2" xfId="46159" xr:uid="{00000000-0005-0000-0000-0000EBB40000}"/>
    <cellStyle name="SAPBEXexcGood2 3 4 3" xfId="46160" xr:uid="{00000000-0005-0000-0000-0000ECB40000}"/>
    <cellStyle name="SAPBEXexcGood2 3 5" xfId="46161" xr:uid="{00000000-0005-0000-0000-0000EDB40000}"/>
    <cellStyle name="SAPBEXexcGood2 4" xfId="46162" xr:uid="{00000000-0005-0000-0000-0000EEB40000}"/>
    <cellStyle name="SAPBEXexcGood2 4 2" xfId="46163" xr:uid="{00000000-0005-0000-0000-0000EFB40000}"/>
    <cellStyle name="SAPBEXexcGood2 4 2 2" xfId="46164" xr:uid="{00000000-0005-0000-0000-0000F0B40000}"/>
    <cellStyle name="SAPBEXexcGood2 4 2 2 2" xfId="46165" xr:uid="{00000000-0005-0000-0000-0000F1B40000}"/>
    <cellStyle name="SAPBEXexcGood2 4 2 3" xfId="46166" xr:uid="{00000000-0005-0000-0000-0000F2B40000}"/>
    <cellStyle name="SAPBEXexcGood2 4 2 3 2" xfId="46167" xr:uid="{00000000-0005-0000-0000-0000F3B40000}"/>
    <cellStyle name="SAPBEXexcGood2 4 2 3 2 2" xfId="46168" xr:uid="{00000000-0005-0000-0000-0000F4B40000}"/>
    <cellStyle name="SAPBEXexcGood2 4 2 3 3" xfId="46169" xr:uid="{00000000-0005-0000-0000-0000F5B40000}"/>
    <cellStyle name="SAPBEXexcGood2 4 2 4" xfId="46170" xr:uid="{00000000-0005-0000-0000-0000F6B40000}"/>
    <cellStyle name="SAPBEXexcGood2 4 3" xfId="46171" xr:uid="{00000000-0005-0000-0000-0000F7B40000}"/>
    <cellStyle name="SAPBEXexcGood2 4 3 2" xfId="46172" xr:uid="{00000000-0005-0000-0000-0000F8B40000}"/>
    <cellStyle name="SAPBEXexcGood2 4 3 2 2" xfId="46173" xr:uid="{00000000-0005-0000-0000-0000F9B40000}"/>
    <cellStyle name="SAPBEXexcGood2 4 3 3" xfId="46174" xr:uid="{00000000-0005-0000-0000-0000FAB40000}"/>
    <cellStyle name="SAPBEXexcGood2 4 4" xfId="46175" xr:uid="{00000000-0005-0000-0000-0000FBB40000}"/>
    <cellStyle name="SAPBEXexcGood2 4 4 2" xfId="46176" xr:uid="{00000000-0005-0000-0000-0000FCB40000}"/>
    <cellStyle name="SAPBEXexcGood2 4 4 2 2" xfId="46177" xr:uid="{00000000-0005-0000-0000-0000FDB40000}"/>
    <cellStyle name="SAPBEXexcGood2 4 4 3" xfId="46178" xr:uid="{00000000-0005-0000-0000-0000FEB40000}"/>
    <cellStyle name="SAPBEXexcGood2 4 5" xfId="46179" xr:uid="{00000000-0005-0000-0000-0000FFB40000}"/>
    <cellStyle name="SAPBEXexcGood2 4 5 2" xfId="46180" xr:uid="{00000000-0005-0000-0000-000000B50000}"/>
    <cellStyle name="SAPBEXexcGood2 4 5 2 2" xfId="46181" xr:uid="{00000000-0005-0000-0000-000001B50000}"/>
    <cellStyle name="SAPBEXexcGood2 4 5 3" xfId="46182" xr:uid="{00000000-0005-0000-0000-000002B50000}"/>
    <cellStyle name="SAPBEXexcGood2 4 6" xfId="46183" xr:uid="{00000000-0005-0000-0000-000003B50000}"/>
    <cellStyle name="SAPBEXexcGood2 5" xfId="46184" xr:uid="{00000000-0005-0000-0000-000004B50000}"/>
    <cellStyle name="SAPBEXexcGood2 5 2" xfId="46185" xr:uid="{00000000-0005-0000-0000-000005B50000}"/>
    <cellStyle name="SAPBEXexcGood2 5 2 2" xfId="46186" xr:uid="{00000000-0005-0000-0000-000006B50000}"/>
    <cellStyle name="SAPBEXexcGood2 5 3" xfId="46187" xr:uid="{00000000-0005-0000-0000-000007B50000}"/>
    <cellStyle name="SAPBEXexcGood2 6" xfId="46188" xr:uid="{00000000-0005-0000-0000-000008B50000}"/>
    <cellStyle name="SAPBEXexcGood2 6 2" xfId="46189" xr:uid="{00000000-0005-0000-0000-000009B50000}"/>
    <cellStyle name="SAPBEXexcGood2 6 2 2" xfId="46190" xr:uid="{00000000-0005-0000-0000-00000AB50000}"/>
    <cellStyle name="SAPBEXexcGood2 6 3" xfId="46191" xr:uid="{00000000-0005-0000-0000-00000BB50000}"/>
    <cellStyle name="SAPBEXexcGood2 7" xfId="46192" xr:uid="{00000000-0005-0000-0000-00000CB50000}"/>
    <cellStyle name="SAPBEXexcGood2 7 2" xfId="46193" xr:uid="{00000000-0005-0000-0000-00000DB50000}"/>
    <cellStyle name="SAPBEXexcGood2 7 2 2" xfId="46194" xr:uid="{00000000-0005-0000-0000-00000EB50000}"/>
    <cellStyle name="SAPBEXexcGood2 7 3" xfId="46195" xr:uid="{00000000-0005-0000-0000-00000FB50000}"/>
    <cellStyle name="SAPBEXexcGood2 8" xfId="46196" xr:uid="{00000000-0005-0000-0000-000010B50000}"/>
    <cellStyle name="SAPBEXexcGood2 8 2" xfId="46197" xr:uid="{00000000-0005-0000-0000-000011B50000}"/>
    <cellStyle name="SAPBEXexcGood2 9" xfId="46198" xr:uid="{00000000-0005-0000-0000-000012B50000}"/>
    <cellStyle name="SAPBEXexcGood2 9 2" xfId="46199" xr:uid="{00000000-0005-0000-0000-000013B50000}"/>
    <cellStyle name="SAPBEXexcGood3" xfId="53" xr:uid="{00000000-0005-0000-0000-000014B50000}"/>
    <cellStyle name="SAPBEXexcGood3 10" xfId="46200" xr:uid="{00000000-0005-0000-0000-000015B50000}"/>
    <cellStyle name="SAPBEXexcGood3 10 2" xfId="46201" xr:uid="{00000000-0005-0000-0000-000016B50000}"/>
    <cellStyle name="SAPBEXexcGood3 11" xfId="46202" xr:uid="{00000000-0005-0000-0000-000017B50000}"/>
    <cellStyle name="SAPBEXexcGood3 11 2" xfId="46203" xr:uid="{00000000-0005-0000-0000-000018B50000}"/>
    <cellStyle name="SAPBEXexcGood3 12" xfId="46204" xr:uid="{00000000-0005-0000-0000-000019B50000}"/>
    <cellStyle name="SAPBEXexcGood3 12 2" xfId="46205" xr:uid="{00000000-0005-0000-0000-00001AB50000}"/>
    <cellStyle name="SAPBEXexcGood3 13" xfId="46206" xr:uid="{00000000-0005-0000-0000-00001BB50000}"/>
    <cellStyle name="SAPBEXexcGood3 14" xfId="46207" xr:uid="{00000000-0005-0000-0000-00001CB50000}"/>
    <cellStyle name="SAPBEXexcGood3 2" xfId="46208" xr:uid="{00000000-0005-0000-0000-00001DB50000}"/>
    <cellStyle name="SAPBEXexcGood3 2 2" xfId="46209" xr:uid="{00000000-0005-0000-0000-00001EB50000}"/>
    <cellStyle name="SAPBEXexcGood3 2 2 2" xfId="46210" xr:uid="{00000000-0005-0000-0000-00001FB50000}"/>
    <cellStyle name="SAPBEXexcGood3 2 2 2 2" xfId="46211" xr:uid="{00000000-0005-0000-0000-000020B50000}"/>
    <cellStyle name="SAPBEXexcGood3 2 2 2 2 2" xfId="46212" xr:uid="{00000000-0005-0000-0000-000021B50000}"/>
    <cellStyle name="SAPBEXexcGood3 2 2 2 2 2 2" xfId="46213" xr:uid="{00000000-0005-0000-0000-000022B50000}"/>
    <cellStyle name="SAPBEXexcGood3 2 2 2 2 3" xfId="46214" xr:uid="{00000000-0005-0000-0000-000023B50000}"/>
    <cellStyle name="SAPBEXexcGood3 2 2 2 3" xfId="46215" xr:uid="{00000000-0005-0000-0000-000024B50000}"/>
    <cellStyle name="SAPBEXexcGood3 2 2 2 3 2" xfId="46216" xr:uid="{00000000-0005-0000-0000-000025B50000}"/>
    <cellStyle name="SAPBEXexcGood3 2 2 2 4" xfId="46217" xr:uid="{00000000-0005-0000-0000-000026B50000}"/>
    <cellStyle name="SAPBEXexcGood3 2 2 3" xfId="46218" xr:uid="{00000000-0005-0000-0000-000027B50000}"/>
    <cellStyle name="SAPBEXexcGood3 2 2 3 2" xfId="46219" xr:uid="{00000000-0005-0000-0000-000028B50000}"/>
    <cellStyle name="SAPBEXexcGood3 2 2 3 2 2" xfId="46220" xr:uid="{00000000-0005-0000-0000-000029B50000}"/>
    <cellStyle name="SAPBEXexcGood3 2 2 3 3" xfId="46221" xr:uid="{00000000-0005-0000-0000-00002AB50000}"/>
    <cellStyle name="SAPBEXexcGood3 2 2 4" xfId="46222" xr:uid="{00000000-0005-0000-0000-00002BB50000}"/>
    <cellStyle name="SAPBEXexcGood3 2 2 4 2" xfId="46223" xr:uid="{00000000-0005-0000-0000-00002CB50000}"/>
    <cellStyle name="SAPBEXexcGood3 2 2 4 2 2" xfId="46224" xr:uid="{00000000-0005-0000-0000-00002DB50000}"/>
    <cellStyle name="SAPBEXexcGood3 2 2 4 3" xfId="46225" xr:uid="{00000000-0005-0000-0000-00002EB50000}"/>
    <cellStyle name="SAPBEXexcGood3 2 2 5" xfId="46226" xr:uid="{00000000-0005-0000-0000-00002FB50000}"/>
    <cellStyle name="SAPBEXexcGood3 2 2 5 2" xfId="46227" xr:uid="{00000000-0005-0000-0000-000030B50000}"/>
    <cellStyle name="SAPBEXexcGood3 2 2 6" xfId="46228" xr:uid="{00000000-0005-0000-0000-000031B50000}"/>
    <cellStyle name="SAPBEXexcGood3 2 3" xfId="46229" xr:uid="{00000000-0005-0000-0000-000032B50000}"/>
    <cellStyle name="SAPBEXexcGood3 2 3 2" xfId="46230" xr:uid="{00000000-0005-0000-0000-000033B50000}"/>
    <cellStyle name="SAPBEXexcGood3 2 3 2 2" xfId="46231" xr:uid="{00000000-0005-0000-0000-000034B50000}"/>
    <cellStyle name="SAPBEXexcGood3 2 3 3" xfId="46232" xr:uid="{00000000-0005-0000-0000-000035B50000}"/>
    <cellStyle name="SAPBEXexcGood3 2 4" xfId="46233" xr:uid="{00000000-0005-0000-0000-000036B50000}"/>
    <cellStyle name="SAPBEXexcGood3 2 4 2" xfId="46234" xr:uid="{00000000-0005-0000-0000-000037B50000}"/>
    <cellStyle name="SAPBEXexcGood3 2 4 2 2" xfId="46235" xr:uid="{00000000-0005-0000-0000-000038B50000}"/>
    <cellStyle name="SAPBEXexcGood3 2 4 3" xfId="46236" xr:uid="{00000000-0005-0000-0000-000039B50000}"/>
    <cellStyle name="SAPBEXexcGood3 2 5" xfId="46237" xr:uid="{00000000-0005-0000-0000-00003AB50000}"/>
    <cellStyle name="SAPBEXexcGood3 2 5 2" xfId="46238" xr:uid="{00000000-0005-0000-0000-00003BB50000}"/>
    <cellStyle name="SAPBEXexcGood3 2 5 2 2" xfId="46239" xr:uid="{00000000-0005-0000-0000-00003CB50000}"/>
    <cellStyle name="SAPBEXexcGood3 2 5 3" xfId="46240" xr:uid="{00000000-0005-0000-0000-00003DB50000}"/>
    <cellStyle name="SAPBEXexcGood3 2 6" xfId="46241" xr:uid="{00000000-0005-0000-0000-00003EB50000}"/>
    <cellStyle name="SAPBEXexcGood3 2 6 2" xfId="46242" xr:uid="{00000000-0005-0000-0000-00003FB50000}"/>
    <cellStyle name="SAPBEXexcGood3 2 7" xfId="46243" xr:uid="{00000000-0005-0000-0000-000040B50000}"/>
    <cellStyle name="SAPBEXexcGood3 3" xfId="46244" xr:uid="{00000000-0005-0000-0000-000041B50000}"/>
    <cellStyle name="SAPBEXexcGood3 3 2" xfId="46245" xr:uid="{00000000-0005-0000-0000-000042B50000}"/>
    <cellStyle name="SAPBEXexcGood3 3 2 2" xfId="46246" xr:uid="{00000000-0005-0000-0000-000043B50000}"/>
    <cellStyle name="SAPBEXexcGood3 3 3" xfId="46247" xr:uid="{00000000-0005-0000-0000-000044B50000}"/>
    <cellStyle name="SAPBEXexcGood3 3 3 2" xfId="46248" xr:uid="{00000000-0005-0000-0000-000045B50000}"/>
    <cellStyle name="SAPBEXexcGood3 3 3 2 2" xfId="46249" xr:uid="{00000000-0005-0000-0000-000046B50000}"/>
    <cellStyle name="SAPBEXexcGood3 3 3 3" xfId="46250" xr:uid="{00000000-0005-0000-0000-000047B50000}"/>
    <cellStyle name="SAPBEXexcGood3 3 4" xfId="46251" xr:uid="{00000000-0005-0000-0000-000048B50000}"/>
    <cellStyle name="SAPBEXexcGood3 3 4 2" xfId="46252" xr:uid="{00000000-0005-0000-0000-000049B50000}"/>
    <cellStyle name="SAPBEXexcGood3 3 4 2 2" xfId="46253" xr:uid="{00000000-0005-0000-0000-00004AB50000}"/>
    <cellStyle name="SAPBEXexcGood3 3 4 3" xfId="46254" xr:uid="{00000000-0005-0000-0000-00004BB50000}"/>
    <cellStyle name="SAPBEXexcGood3 3 5" xfId="46255" xr:uid="{00000000-0005-0000-0000-00004CB50000}"/>
    <cellStyle name="SAPBEXexcGood3 4" xfId="46256" xr:uid="{00000000-0005-0000-0000-00004DB50000}"/>
    <cellStyle name="SAPBEXexcGood3 4 2" xfId="46257" xr:uid="{00000000-0005-0000-0000-00004EB50000}"/>
    <cellStyle name="SAPBEXexcGood3 4 2 2" xfId="46258" xr:uid="{00000000-0005-0000-0000-00004FB50000}"/>
    <cellStyle name="SAPBEXexcGood3 4 2 2 2" xfId="46259" xr:uid="{00000000-0005-0000-0000-000050B50000}"/>
    <cellStyle name="SAPBEXexcGood3 4 2 3" xfId="46260" xr:uid="{00000000-0005-0000-0000-000051B50000}"/>
    <cellStyle name="SAPBEXexcGood3 4 2 3 2" xfId="46261" xr:uid="{00000000-0005-0000-0000-000052B50000}"/>
    <cellStyle name="SAPBEXexcGood3 4 2 3 2 2" xfId="46262" xr:uid="{00000000-0005-0000-0000-000053B50000}"/>
    <cellStyle name="SAPBEXexcGood3 4 2 3 3" xfId="46263" xr:uid="{00000000-0005-0000-0000-000054B50000}"/>
    <cellStyle name="SAPBEXexcGood3 4 2 4" xfId="46264" xr:uid="{00000000-0005-0000-0000-000055B50000}"/>
    <cellStyle name="SAPBEXexcGood3 4 3" xfId="46265" xr:uid="{00000000-0005-0000-0000-000056B50000}"/>
    <cellStyle name="SAPBEXexcGood3 4 3 2" xfId="46266" xr:uid="{00000000-0005-0000-0000-000057B50000}"/>
    <cellStyle name="SAPBEXexcGood3 4 3 2 2" xfId="46267" xr:uid="{00000000-0005-0000-0000-000058B50000}"/>
    <cellStyle name="SAPBEXexcGood3 4 3 3" xfId="46268" xr:uid="{00000000-0005-0000-0000-000059B50000}"/>
    <cellStyle name="SAPBEXexcGood3 4 4" xfId="46269" xr:uid="{00000000-0005-0000-0000-00005AB50000}"/>
    <cellStyle name="SAPBEXexcGood3 4 4 2" xfId="46270" xr:uid="{00000000-0005-0000-0000-00005BB50000}"/>
    <cellStyle name="SAPBEXexcGood3 4 4 2 2" xfId="46271" xr:uid="{00000000-0005-0000-0000-00005CB50000}"/>
    <cellStyle name="SAPBEXexcGood3 4 4 3" xfId="46272" xr:uid="{00000000-0005-0000-0000-00005DB50000}"/>
    <cellStyle name="SAPBEXexcGood3 4 5" xfId="46273" xr:uid="{00000000-0005-0000-0000-00005EB50000}"/>
    <cellStyle name="SAPBEXexcGood3 4 5 2" xfId="46274" xr:uid="{00000000-0005-0000-0000-00005FB50000}"/>
    <cellStyle name="SAPBEXexcGood3 4 5 2 2" xfId="46275" xr:uid="{00000000-0005-0000-0000-000060B50000}"/>
    <cellStyle name="SAPBEXexcGood3 4 5 3" xfId="46276" xr:uid="{00000000-0005-0000-0000-000061B50000}"/>
    <cellStyle name="SAPBEXexcGood3 4 6" xfId="46277" xr:uid="{00000000-0005-0000-0000-000062B50000}"/>
    <cellStyle name="SAPBEXexcGood3 5" xfId="46278" xr:uid="{00000000-0005-0000-0000-000063B50000}"/>
    <cellStyle name="SAPBEXexcGood3 5 2" xfId="46279" xr:uid="{00000000-0005-0000-0000-000064B50000}"/>
    <cellStyle name="SAPBEXexcGood3 5 2 2" xfId="46280" xr:uid="{00000000-0005-0000-0000-000065B50000}"/>
    <cellStyle name="SAPBEXexcGood3 5 3" xfId="46281" xr:uid="{00000000-0005-0000-0000-000066B50000}"/>
    <cellStyle name="SAPBEXexcGood3 6" xfId="46282" xr:uid="{00000000-0005-0000-0000-000067B50000}"/>
    <cellStyle name="SAPBEXexcGood3 6 2" xfId="46283" xr:uid="{00000000-0005-0000-0000-000068B50000}"/>
    <cellStyle name="SAPBEXexcGood3 6 2 2" xfId="46284" xr:uid="{00000000-0005-0000-0000-000069B50000}"/>
    <cellStyle name="SAPBEXexcGood3 6 3" xfId="46285" xr:uid="{00000000-0005-0000-0000-00006AB50000}"/>
    <cellStyle name="SAPBEXexcGood3 7" xfId="46286" xr:uid="{00000000-0005-0000-0000-00006BB50000}"/>
    <cellStyle name="SAPBEXexcGood3 7 2" xfId="46287" xr:uid="{00000000-0005-0000-0000-00006CB50000}"/>
    <cellStyle name="SAPBEXexcGood3 7 2 2" xfId="46288" xr:uid="{00000000-0005-0000-0000-00006DB50000}"/>
    <cellStyle name="SAPBEXexcGood3 7 3" xfId="46289" xr:uid="{00000000-0005-0000-0000-00006EB50000}"/>
    <cellStyle name="SAPBEXexcGood3 8" xfId="46290" xr:uid="{00000000-0005-0000-0000-00006FB50000}"/>
    <cellStyle name="SAPBEXexcGood3 8 2" xfId="46291" xr:uid="{00000000-0005-0000-0000-000070B50000}"/>
    <cellStyle name="SAPBEXexcGood3 9" xfId="46292" xr:uid="{00000000-0005-0000-0000-000071B50000}"/>
    <cellStyle name="SAPBEXexcGood3 9 2" xfId="46293" xr:uid="{00000000-0005-0000-0000-000072B50000}"/>
    <cellStyle name="SAPBEXfilterDrill" xfId="54" xr:uid="{00000000-0005-0000-0000-000073B50000}"/>
    <cellStyle name="SAPBEXfilterDrill 10" xfId="46294" xr:uid="{00000000-0005-0000-0000-000074B50000}"/>
    <cellStyle name="SAPBEXfilterDrill 10 2" xfId="46295" xr:uid="{00000000-0005-0000-0000-000075B50000}"/>
    <cellStyle name="SAPBEXfilterDrill 11" xfId="46296" xr:uid="{00000000-0005-0000-0000-000076B50000}"/>
    <cellStyle name="SAPBEXfilterDrill 11 2" xfId="46297" xr:uid="{00000000-0005-0000-0000-000077B50000}"/>
    <cellStyle name="SAPBEXfilterDrill 12" xfId="46298" xr:uid="{00000000-0005-0000-0000-000078B50000}"/>
    <cellStyle name="SAPBEXfilterDrill 12 2" xfId="46299" xr:uid="{00000000-0005-0000-0000-000079B50000}"/>
    <cellStyle name="SAPBEXfilterDrill 13" xfId="46300" xr:uid="{00000000-0005-0000-0000-00007AB50000}"/>
    <cellStyle name="SAPBEXfilterDrill 2" xfId="46301" xr:uid="{00000000-0005-0000-0000-00007BB50000}"/>
    <cellStyle name="SAPBEXfilterDrill 2 2" xfId="46302" xr:uid="{00000000-0005-0000-0000-00007CB50000}"/>
    <cellStyle name="SAPBEXfilterDrill 2 2 2" xfId="46303" xr:uid="{00000000-0005-0000-0000-00007DB50000}"/>
    <cellStyle name="SAPBEXfilterDrill 2 2 2 2" xfId="46304" xr:uid="{00000000-0005-0000-0000-00007EB50000}"/>
    <cellStyle name="SAPBEXfilterDrill 2 2 2 2 2" xfId="46305" xr:uid="{00000000-0005-0000-0000-00007FB50000}"/>
    <cellStyle name="SAPBEXfilterDrill 2 2 2 2 2 2" xfId="46306" xr:uid="{00000000-0005-0000-0000-000080B50000}"/>
    <cellStyle name="SAPBEXfilterDrill 2 2 2 2 3" xfId="46307" xr:uid="{00000000-0005-0000-0000-000081B50000}"/>
    <cellStyle name="SAPBEXfilterDrill 2 2 2 3" xfId="46308" xr:uid="{00000000-0005-0000-0000-000082B50000}"/>
    <cellStyle name="SAPBEXfilterDrill 2 2 2 3 2" xfId="46309" xr:uid="{00000000-0005-0000-0000-000083B50000}"/>
    <cellStyle name="SAPBEXfilterDrill 2 2 2 4" xfId="46310" xr:uid="{00000000-0005-0000-0000-000084B50000}"/>
    <cellStyle name="SAPBEXfilterDrill 2 2 3" xfId="46311" xr:uid="{00000000-0005-0000-0000-000085B50000}"/>
    <cellStyle name="SAPBEXfilterDrill 2 2 3 2" xfId="46312" xr:uid="{00000000-0005-0000-0000-000086B50000}"/>
    <cellStyle name="SAPBEXfilterDrill 2 2 3 2 2" xfId="46313" xr:uid="{00000000-0005-0000-0000-000087B50000}"/>
    <cellStyle name="SAPBEXfilterDrill 2 2 3 3" xfId="46314" xr:uid="{00000000-0005-0000-0000-000088B50000}"/>
    <cellStyle name="SAPBEXfilterDrill 2 2 4" xfId="46315" xr:uid="{00000000-0005-0000-0000-000089B50000}"/>
    <cellStyle name="SAPBEXfilterDrill 2 2 4 2" xfId="46316" xr:uid="{00000000-0005-0000-0000-00008AB50000}"/>
    <cellStyle name="SAPBEXfilterDrill 2 2 4 2 2" xfId="46317" xr:uid="{00000000-0005-0000-0000-00008BB50000}"/>
    <cellStyle name="SAPBEXfilterDrill 2 2 4 3" xfId="46318" xr:uid="{00000000-0005-0000-0000-00008CB50000}"/>
    <cellStyle name="SAPBEXfilterDrill 2 2 5" xfId="46319" xr:uid="{00000000-0005-0000-0000-00008DB50000}"/>
    <cellStyle name="SAPBEXfilterDrill 2 2 5 2" xfId="46320" xr:uid="{00000000-0005-0000-0000-00008EB50000}"/>
    <cellStyle name="SAPBEXfilterDrill 2 2 6" xfId="46321" xr:uid="{00000000-0005-0000-0000-00008FB50000}"/>
    <cellStyle name="SAPBEXfilterDrill 2 3" xfId="46322" xr:uid="{00000000-0005-0000-0000-000090B50000}"/>
    <cellStyle name="SAPBEXfilterDrill 2 4" xfId="46323" xr:uid="{00000000-0005-0000-0000-000091B50000}"/>
    <cellStyle name="SAPBEXfilterDrill 2 4 2" xfId="46324" xr:uid="{00000000-0005-0000-0000-000092B50000}"/>
    <cellStyle name="SAPBEXfilterDrill 2 4 2 2" xfId="46325" xr:uid="{00000000-0005-0000-0000-000093B50000}"/>
    <cellStyle name="SAPBEXfilterDrill 2 4 3" xfId="46326" xr:uid="{00000000-0005-0000-0000-000094B50000}"/>
    <cellStyle name="SAPBEXfilterDrill 2 5" xfId="46327" xr:uid="{00000000-0005-0000-0000-000095B50000}"/>
    <cellStyle name="SAPBEXfilterDrill 2 5 2" xfId="46328" xr:uid="{00000000-0005-0000-0000-000096B50000}"/>
    <cellStyle name="SAPBEXfilterDrill 2 5 2 2" xfId="46329" xr:uid="{00000000-0005-0000-0000-000097B50000}"/>
    <cellStyle name="SAPBEXfilterDrill 2 5 3" xfId="46330" xr:uid="{00000000-0005-0000-0000-000098B50000}"/>
    <cellStyle name="SAPBEXfilterDrill 3" xfId="46331" xr:uid="{00000000-0005-0000-0000-000099B50000}"/>
    <cellStyle name="SAPBEXfilterDrill 3 2" xfId="46332" xr:uid="{00000000-0005-0000-0000-00009AB50000}"/>
    <cellStyle name="SAPBEXfilterDrill 3 2 2" xfId="46333" xr:uid="{00000000-0005-0000-0000-00009BB50000}"/>
    <cellStyle name="SAPBEXfilterDrill 3 3" xfId="46334" xr:uid="{00000000-0005-0000-0000-00009CB50000}"/>
    <cellStyle name="SAPBEXfilterDrill 3 3 2" xfId="46335" xr:uid="{00000000-0005-0000-0000-00009DB50000}"/>
    <cellStyle name="SAPBEXfilterDrill 3 3 2 2" xfId="46336" xr:uid="{00000000-0005-0000-0000-00009EB50000}"/>
    <cellStyle name="SAPBEXfilterDrill 3 3 3" xfId="46337" xr:uid="{00000000-0005-0000-0000-00009FB50000}"/>
    <cellStyle name="SAPBEXfilterDrill 3 4" xfId="46338" xr:uid="{00000000-0005-0000-0000-0000A0B50000}"/>
    <cellStyle name="SAPBEXfilterDrill 3 4 2" xfId="46339" xr:uid="{00000000-0005-0000-0000-0000A1B50000}"/>
    <cellStyle name="SAPBEXfilterDrill 3 4 2 2" xfId="46340" xr:uid="{00000000-0005-0000-0000-0000A2B50000}"/>
    <cellStyle name="SAPBEXfilterDrill 3 4 3" xfId="46341" xr:uid="{00000000-0005-0000-0000-0000A3B50000}"/>
    <cellStyle name="SAPBEXfilterDrill 3 5" xfId="46342" xr:uid="{00000000-0005-0000-0000-0000A4B50000}"/>
    <cellStyle name="SAPBEXfilterDrill 4" xfId="46343" xr:uid="{00000000-0005-0000-0000-0000A5B50000}"/>
    <cellStyle name="SAPBEXfilterDrill 4 2" xfId="46344" xr:uid="{00000000-0005-0000-0000-0000A6B50000}"/>
    <cellStyle name="SAPBEXfilterDrill 4 2 2" xfId="46345" xr:uid="{00000000-0005-0000-0000-0000A7B50000}"/>
    <cellStyle name="SAPBEXfilterDrill 4 2 2 2" xfId="46346" xr:uid="{00000000-0005-0000-0000-0000A8B50000}"/>
    <cellStyle name="SAPBEXfilterDrill 4 2 3" xfId="46347" xr:uid="{00000000-0005-0000-0000-0000A9B50000}"/>
    <cellStyle name="SAPBEXfilterDrill 4 2 3 2" xfId="46348" xr:uid="{00000000-0005-0000-0000-0000AAB50000}"/>
    <cellStyle name="SAPBEXfilterDrill 4 2 3 2 2" xfId="46349" xr:uid="{00000000-0005-0000-0000-0000ABB50000}"/>
    <cellStyle name="SAPBEXfilterDrill 4 2 3 3" xfId="46350" xr:uid="{00000000-0005-0000-0000-0000ACB50000}"/>
    <cellStyle name="SAPBEXfilterDrill 4 2 4" xfId="46351" xr:uid="{00000000-0005-0000-0000-0000ADB50000}"/>
    <cellStyle name="SAPBEXfilterDrill 4 3" xfId="46352" xr:uid="{00000000-0005-0000-0000-0000AEB50000}"/>
    <cellStyle name="SAPBEXfilterDrill 4 3 2" xfId="46353" xr:uid="{00000000-0005-0000-0000-0000AFB50000}"/>
    <cellStyle name="SAPBEXfilterDrill 4 3 2 2" xfId="46354" xr:uid="{00000000-0005-0000-0000-0000B0B50000}"/>
    <cellStyle name="SAPBEXfilterDrill 4 3 3" xfId="46355" xr:uid="{00000000-0005-0000-0000-0000B1B50000}"/>
    <cellStyle name="SAPBEXfilterDrill 4 4" xfId="46356" xr:uid="{00000000-0005-0000-0000-0000B2B50000}"/>
    <cellStyle name="SAPBEXfilterDrill 4 4 2" xfId="46357" xr:uid="{00000000-0005-0000-0000-0000B3B50000}"/>
    <cellStyle name="SAPBEXfilterDrill 4 4 2 2" xfId="46358" xr:uid="{00000000-0005-0000-0000-0000B4B50000}"/>
    <cellStyle name="SAPBEXfilterDrill 4 4 3" xfId="46359" xr:uid="{00000000-0005-0000-0000-0000B5B50000}"/>
    <cellStyle name="SAPBEXfilterDrill 4 5" xfId="46360" xr:uid="{00000000-0005-0000-0000-0000B6B50000}"/>
    <cellStyle name="SAPBEXfilterDrill 4 5 2" xfId="46361" xr:uid="{00000000-0005-0000-0000-0000B7B50000}"/>
    <cellStyle name="SAPBEXfilterDrill 4 5 2 2" xfId="46362" xr:uid="{00000000-0005-0000-0000-0000B8B50000}"/>
    <cellStyle name="SAPBEXfilterDrill 4 5 3" xfId="46363" xr:uid="{00000000-0005-0000-0000-0000B9B50000}"/>
    <cellStyle name="SAPBEXfilterDrill 4 6" xfId="46364" xr:uid="{00000000-0005-0000-0000-0000BAB50000}"/>
    <cellStyle name="SAPBEXfilterDrill 5" xfId="46365" xr:uid="{00000000-0005-0000-0000-0000BBB50000}"/>
    <cellStyle name="SAPBEXfilterDrill 5 2" xfId="46366" xr:uid="{00000000-0005-0000-0000-0000BCB50000}"/>
    <cellStyle name="SAPBEXfilterDrill 5 2 2" xfId="46367" xr:uid="{00000000-0005-0000-0000-0000BDB50000}"/>
    <cellStyle name="SAPBEXfilterDrill 5 3" xfId="46368" xr:uid="{00000000-0005-0000-0000-0000BEB50000}"/>
    <cellStyle name="SAPBEXfilterDrill 6" xfId="46369" xr:uid="{00000000-0005-0000-0000-0000BFB50000}"/>
    <cellStyle name="SAPBEXfilterDrill 6 2" xfId="46370" xr:uid="{00000000-0005-0000-0000-0000C0B50000}"/>
    <cellStyle name="SAPBEXfilterDrill 6 2 2" xfId="46371" xr:uid="{00000000-0005-0000-0000-0000C1B50000}"/>
    <cellStyle name="SAPBEXfilterDrill 6 3" xfId="46372" xr:uid="{00000000-0005-0000-0000-0000C2B50000}"/>
    <cellStyle name="SAPBEXfilterDrill 7" xfId="46373" xr:uid="{00000000-0005-0000-0000-0000C3B50000}"/>
    <cellStyle name="SAPBEXfilterDrill 7 2" xfId="46374" xr:uid="{00000000-0005-0000-0000-0000C4B50000}"/>
    <cellStyle name="SAPBEXfilterDrill 7 2 2" xfId="46375" xr:uid="{00000000-0005-0000-0000-0000C5B50000}"/>
    <cellStyle name="SAPBEXfilterDrill 7 3" xfId="46376" xr:uid="{00000000-0005-0000-0000-0000C6B50000}"/>
    <cellStyle name="SAPBEXfilterDrill 8" xfId="46377" xr:uid="{00000000-0005-0000-0000-0000C7B50000}"/>
    <cellStyle name="SAPBEXfilterDrill 8 2" xfId="46378" xr:uid="{00000000-0005-0000-0000-0000C8B50000}"/>
    <cellStyle name="SAPBEXfilterDrill 9" xfId="46379" xr:uid="{00000000-0005-0000-0000-0000C9B50000}"/>
    <cellStyle name="SAPBEXfilterDrill 9 2" xfId="46380" xr:uid="{00000000-0005-0000-0000-0000CAB50000}"/>
    <cellStyle name="SAPBEXfilterItem" xfId="55" xr:uid="{00000000-0005-0000-0000-0000CBB50000}"/>
    <cellStyle name="SAPBEXfilterItem 10" xfId="46381" xr:uid="{00000000-0005-0000-0000-0000CCB50000}"/>
    <cellStyle name="SAPBEXfilterItem 10 2" xfId="46382" xr:uid="{00000000-0005-0000-0000-0000CDB50000}"/>
    <cellStyle name="SAPBEXfilterItem 11" xfId="46383" xr:uid="{00000000-0005-0000-0000-0000CEB50000}"/>
    <cellStyle name="SAPBEXfilterItem 11 2" xfId="46384" xr:uid="{00000000-0005-0000-0000-0000CFB50000}"/>
    <cellStyle name="SAPBEXfilterItem 12" xfId="46385" xr:uid="{00000000-0005-0000-0000-0000D0B50000}"/>
    <cellStyle name="SAPBEXfilterItem 2" xfId="46386" xr:uid="{00000000-0005-0000-0000-0000D1B50000}"/>
    <cellStyle name="SAPBEXfilterItem 2 2" xfId="46387" xr:uid="{00000000-0005-0000-0000-0000D2B50000}"/>
    <cellStyle name="SAPBEXfilterItem 2 2 2" xfId="46388" xr:uid="{00000000-0005-0000-0000-0000D3B50000}"/>
    <cellStyle name="SAPBEXfilterItem 2 2 2 2" xfId="46389" xr:uid="{00000000-0005-0000-0000-0000D4B50000}"/>
    <cellStyle name="SAPBEXfilterItem 2 2 2 2 2" xfId="46390" xr:uid="{00000000-0005-0000-0000-0000D5B50000}"/>
    <cellStyle name="SAPBEXfilterItem 2 2 2 2 2 2" xfId="46391" xr:uid="{00000000-0005-0000-0000-0000D6B50000}"/>
    <cellStyle name="SAPBEXfilterItem 2 2 2 2 3" xfId="46392" xr:uid="{00000000-0005-0000-0000-0000D7B50000}"/>
    <cellStyle name="SAPBEXfilterItem 2 2 2 3" xfId="46393" xr:uid="{00000000-0005-0000-0000-0000D8B50000}"/>
    <cellStyle name="SAPBEXfilterItem 2 2 2 3 2" xfId="46394" xr:uid="{00000000-0005-0000-0000-0000D9B50000}"/>
    <cellStyle name="SAPBEXfilterItem 2 2 2 4" xfId="46395" xr:uid="{00000000-0005-0000-0000-0000DAB50000}"/>
    <cellStyle name="SAPBEXfilterItem 2 2 3" xfId="46396" xr:uid="{00000000-0005-0000-0000-0000DBB50000}"/>
    <cellStyle name="SAPBEXfilterItem 2 2 3 2" xfId="46397" xr:uid="{00000000-0005-0000-0000-0000DCB50000}"/>
    <cellStyle name="SAPBEXfilterItem 2 2 3 2 2" xfId="46398" xr:uid="{00000000-0005-0000-0000-0000DDB50000}"/>
    <cellStyle name="SAPBEXfilterItem 2 2 3 3" xfId="46399" xr:uid="{00000000-0005-0000-0000-0000DEB50000}"/>
    <cellStyle name="SAPBEXfilterItem 2 2 4" xfId="46400" xr:uid="{00000000-0005-0000-0000-0000DFB50000}"/>
    <cellStyle name="SAPBEXfilterItem 2 2 4 2" xfId="46401" xr:uid="{00000000-0005-0000-0000-0000E0B50000}"/>
    <cellStyle name="SAPBEXfilterItem 2 2 4 2 2" xfId="46402" xr:uid="{00000000-0005-0000-0000-0000E1B50000}"/>
    <cellStyle name="SAPBEXfilterItem 2 2 4 3" xfId="46403" xr:uid="{00000000-0005-0000-0000-0000E2B50000}"/>
    <cellStyle name="SAPBEXfilterItem 2 2 5" xfId="46404" xr:uid="{00000000-0005-0000-0000-0000E3B50000}"/>
    <cellStyle name="SAPBEXfilterItem 2 2 5 2" xfId="46405" xr:uid="{00000000-0005-0000-0000-0000E4B50000}"/>
    <cellStyle name="SAPBEXfilterItem 2 2 6" xfId="46406" xr:uid="{00000000-0005-0000-0000-0000E5B50000}"/>
    <cellStyle name="SAPBEXfilterItem 2 3" xfId="46407" xr:uid="{00000000-0005-0000-0000-0000E6B50000}"/>
    <cellStyle name="SAPBEXfilterItem 2 3 2" xfId="46408" xr:uid="{00000000-0005-0000-0000-0000E7B50000}"/>
    <cellStyle name="SAPBEXfilterItem 2 4" xfId="46409" xr:uid="{00000000-0005-0000-0000-0000E8B50000}"/>
    <cellStyle name="SAPBEXfilterItem 2 4 2" xfId="46410" xr:uid="{00000000-0005-0000-0000-0000E9B50000}"/>
    <cellStyle name="SAPBEXfilterItem 2 4 2 2" xfId="46411" xr:uid="{00000000-0005-0000-0000-0000EAB50000}"/>
    <cellStyle name="SAPBEXfilterItem 2 4 3" xfId="46412" xr:uid="{00000000-0005-0000-0000-0000EBB50000}"/>
    <cellStyle name="SAPBEXfilterItem 2 5" xfId="46413" xr:uid="{00000000-0005-0000-0000-0000ECB50000}"/>
    <cellStyle name="SAPBEXfilterItem 2 5 2" xfId="46414" xr:uid="{00000000-0005-0000-0000-0000EDB50000}"/>
    <cellStyle name="SAPBEXfilterItem 2 5 2 2" xfId="46415" xr:uid="{00000000-0005-0000-0000-0000EEB50000}"/>
    <cellStyle name="SAPBEXfilterItem 2 5 3" xfId="46416" xr:uid="{00000000-0005-0000-0000-0000EFB50000}"/>
    <cellStyle name="SAPBEXfilterItem 2 6" xfId="46417" xr:uid="{00000000-0005-0000-0000-0000F0B50000}"/>
    <cellStyle name="SAPBEXfilterItem 3" xfId="46418" xr:uid="{00000000-0005-0000-0000-0000F1B50000}"/>
    <cellStyle name="SAPBEXfilterItem 3 2" xfId="46419" xr:uid="{00000000-0005-0000-0000-0000F2B50000}"/>
    <cellStyle name="SAPBEXfilterItem 3 2 2" xfId="46420" xr:uid="{00000000-0005-0000-0000-0000F3B50000}"/>
    <cellStyle name="SAPBEXfilterItem 3 3" xfId="46421" xr:uid="{00000000-0005-0000-0000-0000F4B50000}"/>
    <cellStyle name="SAPBEXfilterItem 3 3 2" xfId="46422" xr:uid="{00000000-0005-0000-0000-0000F5B50000}"/>
    <cellStyle name="SAPBEXfilterItem 3 3 2 2" xfId="46423" xr:uid="{00000000-0005-0000-0000-0000F6B50000}"/>
    <cellStyle name="SAPBEXfilterItem 3 3 3" xfId="46424" xr:uid="{00000000-0005-0000-0000-0000F7B50000}"/>
    <cellStyle name="SAPBEXfilterItem 3 4" xfId="46425" xr:uid="{00000000-0005-0000-0000-0000F8B50000}"/>
    <cellStyle name="SAPBEXfilterItem 3 4 2" xfId="46426" xr:uid="{00000000-0005-0000-0000-0000F9B50000}"/>
    <cellStyle name="SAPBEXfilterItem 3 4 2 2" xfId="46427" xr:uid="{00000000-0005-0000-0000-0000FAB50000}"/>
    <cellStyle name="SAPBEXfilterItem 3 4 3" xfId="46428" xr:uid="{00000000-0005-0000-0000-0000FBB50000}"/>
    <cellStyle name="SAPBEXfilterItem 3 5" xfId="46429" xr:uid="{00000000-0005-0000-0000-0000FCB50000}"/>
    <cellStyle name="SAPBEXfilterItem 4" xfId="46430" xr:uid="{00000000-0005-0000-0000-0000FDB50000}"/>
    <cellStyle name="SAPBEXfilterItem 4 2" xfId="46431" xr:uid="{00000000-0005-0000-0000-0000FEB50000}"/>
    <cellStyle name="SAPBEXfilterItem 4 2 2" xfId="46432" xr:uid="{00000000-0005-0000-0000-0000FFB50000}"/>
    <cellStyle name="SAPBEXfilterItem 4 2 2 2" xfId="46433" xr:uid="{00000000-0005-0000-0000-000000B60000}"/>
    <cellStyle name="SAPBEXfilterItem 4 2 3" xfId="46434" xr:uid="{00000000-0005-0000-0000-000001B60000}"/>
    <cellStyle name="SAPBEXfilterItem 4 2 3 2" xfId="46435" xr:uid="{00000000-0005-0000-0000-000002B60000}"/>
    <cellStyle name="SAPBEXfilterItem 4 2 3 2 2" xfId="46436" xr:uid="{00000000-0005-0000-0000-000003B60000}"/>
    <cellStyle name="SAPBEXfilterItem 4 2 3 3" xfId="46437" xr:uid="{00000000-0005-0000-0000-000004B60000}"/>
    <cellStyle name="SAPBEXfilterItem 4 2 4" xfId="46438" xr:uid="{00000000-0005-0000-0000-000005B60000}"/>
    <cellStyle name="SAPBEXfilterItem 4 3" xfId="46439" xr:uid="{00000000-0005-0000-0000-000006B60000}"/>
    <cellStyle name="SAPBEXfilterItem 4 3 2" xfId="46440" xr:uid="{00000000-0005-0000-0000-000007B60000}"/>
    <cellStyle name="SAPBEXfilterItem 4 3 2 2" xfId="46441" xr:uid="{00000000-0005-0000-0000-000008B60000}"/>
    <cellStyle name="SAPBEXfilterItem 4 3 3" xfId="46442" xr:uid="{00000000-0005-0000-0000-000009B60000}"/>
    <cellStyle name="SAPBEXfilterItem 4 4" xfId="46443" xr:uid="{00000000-0005-0000-0000-00000AB60000}"/>
    <cellStyle name="SAPBEXfilterItem 4 4 2" xfId="46444" xr:uid="{00000000-0005-0000-0000-00000BB60000}"/>
    <cellStyle name="SAPBEXfilterItem 4 4 2 2" xfId="46445" xr:uid="{00000000-0005-0000-0000-00000CB60000}"/>
    <cellStyle name="SAPBEXfilterItem 4 4 3" xfId="46446" xr:uid="{00000000-0005-0000-0000-00000DB60000}"/>
    <cellStyle name="SAPBEXfilterItem 4 5" xfId="46447" xr:uid="{00000000-0005-0000-0000-00000EB60000}"/>
    <cellStyle name="SAPBEXfilterItem 4 5 2" xfId="46448" xr:uid="{00000000-0005-0000-0000-00000FB60000}"/>
    <cellStyle name="SAPBEXfilterItem 4 5 2 2" xfId="46449" xr:uid="{00000000-0005-0000-0000-000010B60000}"/>
    <cellStyle name="SAPBEXfilterItem 4 5 3" xfId="46450" xr:uid="{00000000-0005-0000-0000-000011B60000}"/>
    <cellStyle name="SAPBEXfilterItem 4 6" xfId="46451" xr:uid="{00000000-0005-0000-0000-000012B60000}"/>
    <cellStyle name="SAPBEXfilterItem 5" xfId="46452" xr:uid="{00000000-0005-0000-0000-000013B60000}"/>
    <cellStyle name="SAPBEXfilterItem 5 2" xfId="46453" xr:uid="{00000000-0005-0000-0000-000014B60000}"/>
    <cellStyle name="SAPBEXfilterItem 5 2 2" xfId="46454" xr:uid="{00000000-0005-0000-0000-000015B60000}"/>
    <cellStyle name="SAPBEXfilterItem 5 3" xfId="46455" xr:uid="{00000000-0005-0000-0000-000016B60000}"/>
    <cellStyle name="SAPBEXfilterItem 6" xfId="46456" xr:uid="{00000000-0005-0000-0000-000017B60000}"/>
    <cellStyle name="SAPBEXfilterItem 6 2" xfId="46457" xr:uid="{00000000-0005-0000-0000-000018B60000}"/>
    <cellStyle name="SAPBEXfilterItem 6 2 2" xfId="46458" xr:uid="{00000000-0005-0000-0000-000019B60000}"/>
    <cellStyle name="SAPBEXfilterItem 6 3" xfId="46459" xr:uid="{00000000-0005-0000-0000-00001AB60000}"/>
    <cellStyle name="SAPBEXfilterItem 7" xfId="46460" xr:uid="{00000000-0005-0000-0000-00001BB60000}"/>
    <cellStyle name="SAPBEXfilterItem 7 2" xfId="46461" xr:uid="{00000000-0005-0000-0000-00001CB60000}"/>
    <cellStyle name="SAPBEXfilterItem 7 2 2" xfId="46462" xr:uid="{00000000-0005-0000-0000-00001DB60000}"/>
    <cellStyle name="SAPBEXfilterItem 7 3" xfId="46463" xr:uid="{00000000-0005-0000-0000-00001EB60000}"/>
    <cellStyle name="SAPBEXfilterItem 8" xfId="46464" xr:uid="{00000000-0005-0000-0000-00001FB60000}"/>
    <cellStyle name="SAPBEXfilterItem 8 2" xfId="46465" xr:uid="{00000000-0005-0000-0000-000020B60000}"/>
    <cellStyle name="SAPBEXfilterItem 9" xfId="46466" xr:uid="{00000000-0005-0000-0000-000021B60000}"/>
    <cellStyle name="SAPBEXfilterItem 9 2" xfId="46467" xr:uid="{00000000-0005-0000-0000-000022B60000}"/>
    <cellStyle name="SAPBEXfilterText" xfId="56" xr:uid="{00000000-0005-0000-0000-000023B60000}"/>
    <cellStyle name="SAPBEXfilterText 10" xfId="46468" xr:uid="{00000000-0005-0000-0000-000024B60000}"/>
    <cellStyle name="SAPBEXfilterText 10 2" xfId="46469" xr:uid="{00000000-0005-0000-0000-000025B60000}"/>
    <cellStyle name="SAPBEXfilterText 11" xfId="46470" xr:uid="{00000000-0005-0000-0000-000026B60000}"/>
    <cellStyle name="SAPBEXfilterText 11 2" xfId="46471" xr:uid="{00000000-0005-0000-0000-000027B60000}"/>
    <cellStyle name="SAPBEXfilterText 12" xfId="46472" xr:uid="{00000000-0005-0000-0000-000028B60000}"/>
    <cellStyle name="SAPBEXfilterText 2" xfId="46473" xr:uid="{00000000-0005-0000-0000-000029B60000}"/>
    <cellStyle name="SAPBEXfilterText 2 2" xfId="46474" xr:uid="{00000000-0005-0000-0000-00002AB60000}"/>
    <cellStyle name="SAPBEXfilterText 2 2 2" xfId="46475" xr:uid="{00000000-0005-0000-0000-00002BB60000}"/>
    <cellStyle name="SAPBEXfilterText 2 2 2 2" xfId="46476" xr:uid="{00000000-0005-0000-0000-00002CB60000}"/>
    <cellStyle name="SAPBEXfilterText 2 2 2 2 2" xfId="46477" xr:uid="{00000000-0005-0000-0000-00002DB60000}"/>
    <cellStyle name="SAPBEXfilterText 2 2 2 2 2 2" xfId="46478" xr:uid="{00000000-0005-0000-0000-00002EB60000}"/>
    <cellStyle name="SAPBEXfilterText 2 2 2 2 3" xfId="46479" xr:uid="{00000000-0005-0000-0000-00002FB60000}"/>
    <cellStyle name="SAPBEXfilterText 2 2 2 3" xfId="46480" xr:uid="{00000000-0005-0000-0000-000030B60000}"/>
    <cellStyle name="SAPBEXfilterText 2 2 2 3 2" xfId="46481" xr:uid="{00000000-0005-0000-0000-000031B60000}"/>
    <cellStyle name="SAPBEXfilterText 2 2 2 4" xfId="46482" xr:uid="{00000000-0005-0000-0000-000032B60000}"/>
    <cellStyle name="SAPBEXfilterText 2 2 3" xfId="46483" xr:uid="{00000000-0005-0000-0000-000033B60000}"/>
    <cellStyle name="SAPBEXfilterText 2 2 3 2" xfId="46484" xr:uid="{00000000-0005-0000-0000-000034B60000}"/>
    <cellStyle name="SAPBEXfilterText 2 2 3 2 2" xfId="46485" xr:uid="{00000000-0005-0000-0000-000035B60000}"/>
    <cellStyle name="SAPBEXfilterText 2 2 3 3" xfId="46486" xr:uid="{00000000-0005-0000-0000-000036B60000}"/>
    <cellStyle name="SAPBEXfilterText 2 2 4" xfId="46487" xr:uid="{00000000-0005-0000-0000-000037B60000}"/>
    <cellStyle name="SAPBEXfilterText 2 2 4 2" xfId="46488" xr:uid="{00000000-0005-0000-0000-000038B60000}"/>
    <cellStyle name="SAPBEXfilterText 2 2 4 2 2" xfId="46489" xr:uid="{00000000-0005-0000-0000-000039B60000}"/>
    <cellStyle name="SAPBEXfilterText 2 2 4 3" xfId="46490" xr:uid="{00000000-0005-0000-0000-00003AB60000}"/>
    <cellStyle name="SAPBEXfilterText 2 2 5" xfId="46491" xr:uid="{00000000-0005-0000-0000-00003BB60000}"/>
    <cellStyle name="SAPBEXfilterText 2 2 5 2" xfId="46492" xr:uid="{00000000-0005-0000-0000-00003CB60000}"/>
    <cellStyle name="SAPBEXfilterText 2 2 6" xfId="46493" xr:uid="{00000000-0005-0000-0000-00003DB60000}"/>
    <cellStyle name="SAPBEXfilterText 2 3" xfId="46494" xr:uid="{00000000-0005-0000-0000-00003EB60000}"/>
    <cellStyle name="SAPBEXfilterText 2 4" xfId="46495" xr:uid="{00000000-0005-0000-0000-00003FB60000}"/>
    <cellStyle name="SAPBEXfilterText 2 4 2" xfId="46496" xr:uid="{00000000-0005-0000-0000-000040B60000}"/>
    <cellStyle name="SAPBEXfilterText 2 4 2 2" xfId="46497" xr:uid="{00000000-0005-0000-0000-000041B60000}"/>
    <cellStyle name="SAPBEXfilterText 2 4 3" xfId="46498" xr:uid="{00000000-0005-0000-0000-000042B60000}"/>
    <cellStyle name="SAPBEXfilterText 2 5" xfId="46499" xr:uid="{00000000-0005-0000-0000-000043B60000}"/>
    <cellStyle name="SAPBEXfilterText 2 5 2" xfId="46500" xr:uid="{00000000-0005-0000-0000-000044B60000}"/>
    <cellStyle name="SAPBEXfilterText 2 5 2 2" xfId="46501" xr:uid="{00000000-0005-0000-0000-000045B60000}"/>
    <cellStyle name="SAPBEXfilterText 2 5 3" xfId="46502" xr:uid="{00000000-0005-0000-0000-000046B60000}"/>
    <cellStyle name="SAPBEXfilterText 3" xfId="46503" xr:uid="{00000000-0005-0000-0000-000047B60000}"/>
    <cellStyle name="SAPBEXfilterText 3 2" xfId="46504" xr:uid="{00000000-0005-0000-0000-000048B60000}"/>
    <cellStyle name="SAPBEXfilterText 3 2 2" xfId="46505" xr:uid="{00000000-0005-0000-0000-000049B60000}"/>
    <cellStyle name="SAPBEXfilterText 3 3" xfId="46506" xr:uid="{00000000-0005-0000-0000-00004AB60000}"/>
    <cellStyle name="SAPBEXfilterText 3 3 2" xfId="46507" xr:uid="{00000000-0005-0000-0000-00004BB60000}"/>
    <cellStyle name="SAPBEXfilterText 3 3 2 2" xfId="46508" xr:uid="{00000000-0005-0000-0000-00004CB60000}"/>
    <cellStyle name="SAPBEXfilterText 3 3 3" xfId="46509" xr:uid="{00000000-0005-0000-0000-00004DB60000}"/>
    <cellStyle name="SAPBEXfilterText 3 4" xfId="46510" xr:uid="{00000000-0005-0000-0000-00004EB60000}"/>
    <cellStyle name="SAPBEXfilterText 3 4 2" xfId="46511" xr:uid="{00000000-0005-0000-0000-00004FB60000}"/>
    <cellStyle name="SAPBEXfilterText 3 4 2 2" xfId="46512" xr:uid="{00000000-0005-0000-0000-000050B60000}"/>
    <cellStyle name="SAPBEXfilterText 3 4 3" xfId="46513" xr:uid="{00000000-0005-0000-0000-000051B60000}"/>
    <cellStyle name="SAPBEXfilterText 3 5" xfId="46514" xr:uid="{00000000-0005-0000-0000-000052B60000}"/>
    <cellStyle name="SAPBEXfilterText 4" xfId="46515" xr:uid="{00000000-0005-0000-0000-000053B60000}"/>
    <cellStyle name="SAPBEXfilterText 4 2" xfId="46516" xr:uid="{00000000-0005-0000-0000-000054B60000}"/>
    <cellStyle name="SAPBEXfilterText 4 2 2" xfId="46517" xr:uid="{00000000-0005-0000-0000-000055B60000}"/>
    <cellStyle name="SAPBEXfilterText 4 2 2 2" xfId="46518" xr:uid="{00000000-0005-0000-0000-000056B60000}"/>
    <cellStyle name="SAPBEXfilterText 4 2 3" xfId="46519" xr:uid="{00000000-0005-0000-0000-000057B60000}"/>
    <cellStyle name="SAPBEXfilterText 4 2 3 2" xfId="46520" xr:uid="{00000000-0005-0000-0000-000058B60000}"/>
    <cellStyle name="SAPBEXfilterText 4 2 3 2 2" xfId="46521" xr:uid="{00000000-0005-0000-0000-000059B60000}"/>
    <cellStyle name="SAPBEXfilterText 4 2 3 3" xfId="46522" xr:uid="{00000000-0005-0000-0000-00005AB60000}"/>
    <cellStyle name="SAPBEXfilterText 4 2 4" xfId="46523" xr:uid="{00000000-0005-0000-0000-00005BB60000}"/>
    <cellStyle name="SAPBEXfilterText 4 3" xfId="46524" xr:uid="{00000000-0005-0000-0000-00005CB60000}"/>
    <cellStyle name="SAPBEXfilterText 4 3 2" xfId="46525" xr:uid="{00000000-0005-0000-0000-00005DB60000}"/>
    <cellStyle name="SAPBEXfilterText 4 3 2 2" xfId="46526" xr:uid="{00000000-0005-0000-0000-00005EB60000}"/>
    <cellStyle name="SAPBEXfilterText 4 3 3" xfId="46527" xr:uid="{00000000-0005-0000-0000-00005FB60000}"/>
    <cellStyle name="SAPBEXfilterText 4 4" xfId="46528" xr:uid="{00000000-0005-0000-0000-000060B60000}"/>
    <cellStyle name="SAPBEXfilterText 4 4 2" xfId="46529" xr:uid="{00000000-0005-0000-0000-000061B60000}"/>
    <cellStyle name="SAPBEXfilterText 4 4 2 2" xfId="46530" xr:uid="{00000000-0005-0000-0000-000062B60000}"/>
    <cellStyle name="SAPBEXfilterText 4 4 3" xfId="46531" xr:uid="{00000000-0005-0000-0000-000063B60000}"/>
    <cellStyle name="SAPBEXfilterText 4 5" xfId="46532" xr:uid="{00000000-0005-0000-0000-000064B60000}"/>
    <cellStyle name="SAPBEXfilterText 4 5 2" xfId="46533" xr:uid="{00000000-0005-0000-0000-000065B60000}"/>
    <cellStyle name="SAPBEXfilterText 4 5 2 2" xfId="46534" xr:uid="{00000000-0005-0000-0000-000066B60000}"/>
    <cellStyle name="SAPBEXfilterText 4 5 3" xfId="46535" xr:uid="{00000000-0005-0000-0000-000067B60000}"/>
    <cellStyle name="SAPBEXfilterText 4 6" xfId="46536" xr:uid="{00000000-0005-0000-0000-000068B60000}"/>
    <cellStyle name="SAPBEXfilterText 5" xfId="46537" xr:uid="{00000000-0005-0000-0000-000069B60000}"/>
    <cellStyle name="SAPBEXfilterText 5 2" xfId="46538" xr:uid="{00000000-0005-0000-0000-00006AB60000}"/>
    <cellStyle name="SAPBEXfilterText 5 2 2" xfId="46539" xr:uid="{00000000-0005-0000-0000-00006BB60000}"/>
    <cellStyle name="SAPBEXfilterText 5 3" xfId="46540" xr:uid="{00000000-0005-0000-0000-00006CB60000}"/>
    <cellStyle name="SAPBEXfilterText 6" xfId="46541" xr:uid="{00000000-0005-0000-0000-00006DB60000}"/>
    <cellStyle name="SAPBEXfilterText 6 2" xfId="46542" xr:uid="{00000000-0005-0000-0000-00006EB60000}"/>
    <cellStyle name="SAPBEXfilterText 6 2 2" xfId="46543" xr:uid="{00000000-0005-0000-0000-00006FB60000}"/>
    <cellStyle name="SAPBEXfilterText 6 3" xfId="46544" xr:uid="{00000000-0005-0000-0000-000070B60000}"/>
    <cellStyle name="SAPBEXfilterText 7" xfId="46545" xr:uid="{00000000-0005-0000-0000-000071B60000}"/>
    <cellStyle name="SAPBEXfilterText 7 2" xfId="46546" xr:uid="{00000000-0005-0000-0000-000072B60000}"/>
    <cellStyle name="SAPBEXfilterText 7 2 2" xfId="46547" xr:uid="{00000000-0005-0000-0000-000073B60000}"/>
    <cellStyle name="SAPBEXfilterText 7 3" xfId="46548" xr:uid="{00000000-0005-0000-0000-000074B60000}"/>
    <cellStyle name="SAPBEXfilterText 8" xfId="46549" xr:uid="{00000000-0005-0000-0000-000075B60000}"/>
    <cellStyle name="SAPBEXfilterText 8 2" xfId="46550" xr:uid="{00000000-0005-0000-0000-000076B60000}"/>
    <cellStyle name="SAPBEXfilterText 9" xfId="46551" xr:uid="{00000000-0005-0000-0000-000077B60000}"/>
    <cellStyle name="SAPBEXfilterText 9 2" xfId="46552" xr:uid="{00000000-0005-0000-0000-000078B60000}"/>
    <cellStyle name="SAPBEXformats" xfId="57" xr:uid="{00000000-0005-0000-0000-000079B60000}"/>
    <cellStyle name="SAPBEXformats 10" xfId="46553" xr:uid="{00000000-0005-0000-0000-00007AB60000}"/>
    <cellStyle name="SAPBEXformats 10 2" xfId="46554" xr:uid="{00000000-0005-0000-0000-00007BB60000}"/>
    <cellStyle name="SAPBEXformats 11" xfId="46555" xr:uid="{00000000-0005-0000-0000-00007CB60000}"/>
    <cellStyle name="SAPBEXformats 11 2" xfId="46556" xr:uid="{00000000-0005-0000-0000-00007DB60000}"/>
    <cellStyle name="SAPBEXformats 12" xfId="46557" xr:uid="{00000000-0005-0000-0000-00007EB60000}"/>
    <cellStyle name="SAPBEXformats 12 2" xfId="46558" xr:uid="{00000000-0005-0000-0000-00007FB60000}"/>
    <cellStyle name="SAPBEXformats 13" xfId="46559" xr:uid="{00000000-0005-0000-0000-000080B60000}"/>
    <cellStyle name="SAPBEXformats 14" xfId="46560" xr:uid="{00000000-0005-0000-0000-000081B60000}"/>
    <cellStyle name="SAPBEXformats 2" xfId="46561" xr:uid="{00000000-0005-0000-0000-000082B60000}"/>
    <cellStyle name="SAPBEXformats 2 2" xfId="46562" xr:uid="{00000000-0005-0000-0000-000083B60000}"/>
    <cellStyle name="SAPBEXformats 2 2 2" xfId="46563" xr:uid="{00000000-0005-0000-0000-000084B60000}"/>
    <cellStyle name="SAPBEXformats 2 2 2 2" xfId="46564" xr:uid="{00000000-0005-0000-0000-000085B60000}"/>
    <cellStyle name="SAPBEXformats 2 2 2 2 2" xfId="46565" xr:uid="{00000000-0005-0000-0000-000086B60000}"/>
    <cellStyle name="SAPBEXformats 2 2 2 2 2 2" xfId="46566" xr:uid="{00000000-0005-0000-0000-000087B60000}"/>
    <cellStyle name="SAPBEXformats 2 2 2 2 3" xfId="46567" xr:uid="{00000000-0005-0000-0000-000088B60000}"/>
    <cellStyle name="SAPBEXformats 2 2 2 3" xfId="46568" xr:uid="{00000000-0005-0000-0000-000089B60000}"/>
    <cellStyle name="SAPBEXformats 2 2 2 3 2" xfId="46569" xr:uid="{00000000-0005-0000-0000-00008AB60000}"/>
    <cellStyle name="SAPBEXformats 2 2 2 4" xfId="46570" xr:uid="{00000000-0005-0000-0000-00008BB60000}"/>
    <cellStyle name="SAPBEXformats 2 2 3" xfId="46571" xr:uid="{00000000-0005-0000-0000-00008CB60000}"/>
    <cellStyle name="SAPBEXformats 2 2 3 2" xfId="46572" xr:uid="{00000000-0005-0000-0000-00008DB60000}"/>
    <cellStyle name="SAPBEXformats 2 2 3 2 2" xfId="46573" xr:uid="{00000000-0005-0000-0000-00008EB60000}"/>
    <cellStyle name="SAPBEXformats 2 2 3 3" xfId="46574" xr:uid="{00000000-0005-0000-0000-00008FB60000}"/>
    <cellStyle name="SAPBEXformats 2 2 4" xfId="46575" xr:uid="{00000000-0005-0000-0000-000090B60000}"/>
    <cellStyle name="SAPBEXformats 2 2 4 2" xfId="46576" xr:uid="{00000000-0005-0000-0000-000091B60000}"/>
    <cellStyle name="SAPBEXformats 2 2 4 2 2" xfId="46577" xr:uid="{00000000-0005-0000-0000-000092B60000}"/>
    <cellStyle name="SAPBEXformats 2 2 4 3" xfId="46578" xr:uid="{00000000-0005-0000-0000-000093B60000}"/>
    <cellStyle name="SAPBEXformats 2 2 5" xfId="46579" xr:uid="{00000000-0005-0000-0000-000094B60000}"/>
    <cellStyle name="SAPBEXformats 2 2 5 2" xfId="46580" xr:uid="{00000000-0005-0000-0000-000095B60000}"/>
    <cellStyle name="SAPBEXformats 2 2 6" xfId="46581" xr:uid="{00000000-0005-0000-0000-000096B60000}"/>
    <cellStyle name="SAPBEXformats 2 3" xfId="46582" xr:uid="{00000000-0005-0000-0000-000097B60000}"/>
    <cellStyle name="SAPBEXformats 2 3 2" xfId="46583" xr:uid="{00000000-0005-0000-0000-000098B60000}"/>
    <cellStyle name="SAPBEXformats 2 3 2 2" xfId="46584" xr:uid="{00000000-0005-0000-0000-000099B60000}"/>
    <cellStyle name="SAPBEXformats 2 3 3" xfId="46585" xr:uid="{00000000-0005-0000-0000-00009AB60000}"/>
    <cellStyle name="SAPBEXformats 2 4" xfId="46586" xr:uid="{00000000-0005-0000-0000-00009BB60000}"/>
    <cellStyle name="SAPBEXformats 2 4 2" xfId="46587" xr:uid="{00000000-0005-0000-0000-00009CB60000}"/>
    <cellStyle name="SAPBEXformats 2 4 2 2" xfId="46588" xr:uid="{00000000-0005-0000-0000-00009DB60000}"/>
    <cellStyle name="SAPBEXformats 2 4 3" xfId="46589" xr:uid="{00000000-0005-0000-0000-00009EB60000}"/>
    <cellStyle name="SAPBEXformats 2 5" xfId="46590" xr:uid="{00000000-0005-0000-0000-00009FB60000}"/>
    <cellStyle name="SAPBEXformats 2 5 2" xfId="46591" xr:uid="{00000000-0005-0000-0000-0000A0B60000}"/>
    <cellStyle name="SAPBEXformats 2 5 2 2" xfId="46592" xr:uid="{00000000-0005-0000-0000-0000A1B60000}"/>
    <cellStyle name="SAPBEXformats 2 5 3" xfId="46593" xr:uid="{00000000-0005-0000-0000-0000A2B60000}"/>
    <cellStyle name="SAPBEXformats 2 6" xfId="46594" xr:uid="{00000000-0005-0000-0000-0000A3B60000}"/>
    <cellStyle name="SAPBEXformats 2 6 2" xfId="46595" xr:uid="{00000000-0005-0000-0000-0000A4B60000}"/>
    <cellStyle name="SAPBEXformats 2 7" xfId="46596" xr:uid="{00000000-0005-0000-0000-0000A5B60000}"/>
    <cellStyle name="SAPBEXformats 3" xfId="46597" xr:uid="{00000000-0005-0000-0000-0000A6B60000}"/>
    <cellStyle name="SAPBEXformats 3 2" xfId="46598" xr:uid="{00000000-0005-0000-0000-0000A7B60000}"/>
    <cellStyle name="SAPBEXformats 3 2 2" xfId="46599" xr:uid="{00000000-0005-0000-0000-0000A8B60000}"/>
    <cellStyle name="SAPBEXformats 3 3" xfId="46600" xr:uid="{00000000-0005-0000-0000-0000A9B60000}"/>
    <cellStyle name="SAPBEXformats 3 3 2" xfId="46601" xr:uid="{00000000-0005-0000-0000-0000AAB60000}"/>
    <cellStyle name="SAPBEXformats 3 3 2 2" xfId="46602" xr:uid="{00000000-0005-0000-0000-0000ABB60000}"/>
    <cellStyle name="SAPBEXformats 3 3 3" xfId="46603" xr:uid="{00000000-0005-0000-0000-0000ACB60000}"/>
    <cellStyle name="SAPBEXformats 3 4" xfId="46604" xr:uid="{00000000-0005-0000-0000-0000ADB60000}"/>
    <cellStyle name="SAPBEXformats 3 4 2" xfId="46605" xr:uid="{00000000-0005-0000-0000-0000AEB60000}"/>
    <cellStyle name="SAPBEXformats 3 4 2 2" xfId="46606" xr:uid="{00000000-0005-0000-0000-0000AFB60000}"/>
    <cellStyle name="SAPBEXformats 3 4 3" xfId="46607" xr:uid="{00000000-0005-0000-0000-0000B0B60000}"/>
    <cellStyle name="SAPBEXformats 3 5" xfId="46608" xr:uid="{00000000-0005-0000-0000-0000B1B60000}"/>
    <cellStyle name="SAPBEXformats 4" xfId="46609" xr:uid="{00000000-0005-0000-0000-0000B2B60000}"/>
    <cellStyle name="SAPBEXformats 4 2" xfId="46610" xr:uid="{00000000-0005-0000-0000-0000B3B60000}"/>
    <cellStyle name="SAPBEXformats 4 2 2" xfId="46611" xr:uid="{00000000-0005-0000-0000-0000B4B60000}"/>
    <cellStyle name="SAPBEXformats 4 2 2 2" xfId="46612" xr:uid="{00000000-0005-0000-0000-0000B5B60000}"/>
    <cellStyle name="SAPBEXformats 4 2 3" xfId="46613" xr:uid="{00000000-0005-0000-0000-0000B6B60000}"/>
    <cellStyle name="SAPBEXformats 4 2 3 2" xfId="46614" xr:uid="{00000000-0005-0000-0000-0000B7B60000}"/>
    <cellStyle name="SAPBEXformats 4 2 3 2 2" xfId="46615" xr:uid="{00000000-0005-0000-0000-0000B8B60000}"/>
    <cellStyle name="SAPBEXformats 4 2 3 3" xfId="46616" xr:uid="{00000000-0005-0000-0000-0000B9B60000}"/>
    <cellStyle name="SAPBEXformats 4 2 4" xfId="46617" xr:uid="{00000000-0005-0000-0000-0000BAB60000}"/>
    <cellStyle name="SAPBEXformats 4 3" xfId="46618" xr:uid="{00000000-0005-0000-0000-0000BBB60000}"/>
    <cellStyle name="SAPBEXformats 4 3 2" xfId="46619" xr:uid="{00000000-0005-0000-0000-0000BCB60000}"/>
    <cellStyle name="SAPBEXformats 4 3 2 2" xfId="46620" xr:uid="{00000000-0005-0000-0000-0000BDB60000}"/>
    <cellStyle name="SAPBEXformats 4 3 3" xfId="46621" xr:uid="{00000000-0005-0000-0000-0000BEB60000}"/>
    <cellStyle name="SAPBEXformats 4 4" xfId="46622" xr:uid="{00000000-0005-0000-0000-0000BFB60000}"/>
    <cellStyle name="SAPBEXformats 4 4 2" xfId="46623" xr:uid="{00000000-0005-0000-0000-0000C0B60000}"/>
    <cellStyle name="SAPBEXformats 4 4 2 2" xfId="46624" xr:uid="{00000000-0005-0000-0000-0000C1B60000}"/>
    <cellStyle name="SAPBEXformats 4 4 3" xfId="46625" xr:uid="{00000000-0005-0000-0000-0000C2B60000}"/>
    <cellStyle name="SAPBEXformats 4 5" xfId="46626" xr:uid="{00000000-0005-0000-0000-0000C3B60000}"/>
    <cellStyle name="SAPBEXformats 4 5 2" xfId="46627" xr:uid="{00000000-0005-0000-0000-0000C4B60000}"/>
    <cellStyle name="SAPBEXformats 4 5 2 2" xfId="46628" xr:uid="{00000000-0005-0000-0000-0000C5B60000}"/>
    <cellStyle name="SAPBEXformats 4 5 3" xfId="46629" xr:uid="{00000000-0005-0000-0000-0000C6B60000}"/>
    <cellStyle name="SAPBEXformats 4 6" xfId="46630" xr:uid="{00000000-0005-0000-0000-0000C7B60000}"/>
    <cellStyle name="SAPBEXformats 5" xfId="46631" xr:uid="{00000000-0005-0000-0000-0000C8B60000}"/>
    <cellStyle name="SAPBEXformats 5 2" xfId="46632" xr:uid="{00000000-0005-0000-0000-0000C9B60000}"/>
    <cellStyle name="SAPBEXformats 5 2 2" xfId="46633" xr:uid="{00000000-0005-0000-0000-0000CAB60000}"/>
    <cellStyle name="SAPBEXformats 5 3" xfId="46634" xr:uid="{00000000-0005-0000-0000-0000CBB60000}"/>
    <cellStyle name="SAPBEXformats 6" xfId="46635" xr:uid="{00000000-0005-0000-0000-0000CCB60000}"/>
    <cellStyle name="SAPBEXformats 6 2" xfId="46636" xr:uid="{00000000-0005-0000-0000-0000CDB60000}"/>
    <cellStyle name="SAPBEXformats 6 2 2" xfId="46637" xr:uid="{00000000-0005-0000-0000-0000CEB60000}"/>
    <cellStyle name="SAPBEXformats 6 3" xfId="46638" xr:uid="{00000000-0005-0000-0000-0000CFB60000}"/>
    <cellStyle name="SAPBEXformats 7" xfId="46639" xr:uid="{00000000-0005-0000-0000-0000D0B60000}"/>
    <cellStyle name="SAPBEXformats 7 2" xfId="46640" xr:uid="{00000000-0005-0000-0000-0000D1B60000}"/>
    <cellStyle name="SAPBEXformats 7 2 2" xfId="46641" xr:uid="{00000000-0005-0000-0000-0000D2B60000}"/>
    <cellStyle name="SAPBEXformats 7 3" xfId="46642" xr:uid="{00000000-0005-0000-0000-0000D3B60000}"/>
    <cellStyle name="SAPBEXformats 8" xfId="46643" xr:uid="{00000000-0005-0000-0000-0000D4B60000}"/>
    <cellStyle name="SAPBEXformats 8 2" xfId="46644" xr:uid="{00000000-0005-0000-0000-0000D5B60000}"/>
    <cellStyle name="SAPBEXformats 9" xfId="46645" xr:uid="{00000000-0005-0000-0000-0000D6B60000}"/>
    <cellStyle name="SAPBEXformats 9 2" xfId="46646" xr:uid="{00000000-0005-0000-0000-0000D7B60000}"/>
    <cellStyle name="SAPBEXheaderItem" xfId="58" xr:uid="{00000000-0005-0000-0000-0000D8B60000}"/>
    <cellStyle name="SAPBEXheaderItem 10" xfId="46647" xr:uid="{00000000-0005-0000-0000-0000D9B60000}"/>
    <cellStyle name="SAPBEXheaderItem 10 2" xfId="46648" xr:uid="{00000000-0005-0000-0000-0000DAB60000}"/>
    <cellStyle name="SAPBEXheaderItem 11" xfId="46649" xr:uid="{00000000-0005-0000-0000-0000DBB60000}"/>
    <cellStyle name="SAPBEXheaderItem 11 2" xfId="46650" xr:uid="{00000000-0005-0000-0000-0000DCB60000}"/>
    <cellStyle name="SAPBEXheaderItem 12" xfId="46651" xr:uid="{00000000-0005-0000-0000-0000DDB60000}"/>
    <cellStyle name="SAPBEXheaderItem 12 2" xfId="46652" xr:uid="{00000000-0005-0000-0000-0000DEB60000}"/>
    <cellStyle name="SAPBEXheaderItem 13" xfId="46653" xr:uid="{00000000-0005-0000-0000-0000DFB60000}"/>
    <cellStyle name="SAPBEXheaderItem 13 2" xfId="46654" xr:uid="{00000000-0005-0000-0000-0000E0B60000}"/>
    <cellStyle name="SAPBEXheaderItem 14" xfId="46655" xr:uid="{00000000-0005-0000-0000-0000E1B60000}"/>
    <cellStyle name="SAPBEXheaderItem 2" xfId="46656" xr:uid="{00000000-0005-0000-0000-0000E2B60000}"/>
    <cellStyle name="SAPBEXheaderItem 2 2" xfId="46657" xr:uid="{00000000-0005-0000-0000-0000E3B60000}"/>
    <cellStyle name="SAPBEXheaderItem 2 2 2" xfId="46658" xr:uid="{00000000-0005-0000-0000-0000E4B60000}"/>
    <cellStyle name="SAPBEXheaderItem 2 2 2 2" xfId="46659" xr:uid="{00000000-0005-0000-0000-0000E5B60000}"/>
    <cellStyle name="SAPBEXheaderItem 2 2 2 2 2" xfId="46660" xr:uid="{00000000-0005-0000-0000-0000E6B60000}"/>
    <cellStyle name="SAPBEXheaderItem 2 2 2 2 2 2" xfId="46661" xr:uid="{00000000-0005-0000-0000-0000E7B60000}"/>
    <cellStyle name="SAPBEXheaderItem 2 2 2 2 3" xfId="46662" xr:uid="{00000000-0005-0000-0000-0000E8B60000}"/>
    <cellStyle name="SAPBEXheaderItem 2 2 2 3" xfId="46663" xr:uid="{00000000-0005-0000-0000-0000E9B60000}"/>
    <cellStyle name="SAPBEXheaderItem 2 2 2 3 2" xfId="46664" xr:uid="{00000000-0005-0000-0000-0000EAB60000}"/>
    <cellStyle name="SAPBEXheaderItem 2 2 2 4" xfId="46665" xr:uid="{00000000-0005-0000-0000-0000EBB60000}"/>
    <cellStyle name="SAPBEXheaderItem 2 2 3" xfId="46666" xr:uid="{00000000-0005-0000-0000-0000ECB60000}"/>
    <cellStyle name="SAPBEXheaderItem 2 2 3 2" xfId="46667" xr:uid="{00000000-0005-0000-0000-0000EDB60000}"/>
    <cellStyle name="SAPBEXheaderItem 2 2 3 2 2" xfId="46668" xr:uid="{00000000-0005-0000-0000-0000EEB60000}"/>
    <cellStyle name="SAPBEXheaderItem 2 2 3 3" xfId="46669" xr:uid="{00000000-0005-0000-0000-0000EFB60000}"/>
    <cellStyle name="SAPBEXheaderItem 2 2 4" xfId="46670" xr:uid="{00000000-0005-0000-0000-0000F0B60000}"/>
    <cellStyle name="SAPBEXheaderItem 2 2 4 2" xfId="46671" xr:uid="{00000000-0005-0000-0000-0000F1B60000}"/>
    <cellStyle name="SAPBEXheaderItem 2 2 4 2 2" xfId="46672" xr:uid="{00000000-0005-0000-0000-0000F2B60000}"/>
    <cellStyle name="SAPBEXheaderItem 2 2 4 3" xfId="46673" xr:uid="{00000000-0005-0000-0000-0000F3B60000}"/>
    <cellStyle name="SAPBEXheaderItem 2 2 5" xfId="46674" xr:uid="{00000000-0005-0000-0000-0000F4B60000}"/>
    <cellStyle name="SAPBEXheaderItem 2 2 5 2" xfId="46675" xr:uid="{00000000-0005-0000-0000-0000F5B60000}"/>
    <cellStyle name="SAPBEXheaderItem 2 2 6" xfId="46676" xr:uid="{00000000-0005-0000-0000-0000F6B60000}"/>
    <cellStyle name="SAPBEXheaderItem 2 3" xfId="46677" xr:uid="{00000000-0005-0000-0000-0000F7B60000}"/>
    <cellStyle name="SAPBEXheaderItem 2 3 2" xfId="46678" xr:uid="{00000000-0005-0000-0000-0000F8B60000}"/>
    <cellStyle name="SAPBEXheaderItem 2 4" xfId="46679" xr:uid="{00000000-0005-0000-0000-0000F9B60000}"/>
    <cellStyle name="SAPBEXheaderItem 2 4 2" xfId="46680" xr:uid="{00000000-0005-0000-0000-0000FAB60000}"/>
    <cellStyle name="SAPBEXheaderItem 2 4 2 2" xfId="46681" xr:uid="{00000000-0005-0000-0000-0000FBB60000}"/>
    <cellStyle name="SAPBEXheaderItem 2 4 3" xfId="46682" xr:uid="{00000000-0005-0000-0000-0000FCB60000}"/>
    <cellStyle name="SAPBEXheaderItem 2 5" xfId="46683" xr:uid="{00000000-0005-0000-0000-0000FDB60000}"/>
    <cellStyle name="SAPBEXheaderItem 2 5 2" xfId="46684" xr:uid="{00000000-0005-0000-0000-0000FEB60000}"/>
    <cellStyle name="SAPBEXheaderItem 2 5 2 2" xfId="46685" xr:uid="{00000000-0005-0000-0000-0000FFB60000}"/>
    <cellStyle name="SAPBEXheaderItem 2 5 3" xfId="46686" xr:uid="{00000000-0005-0000-0000-000000B70000}"/>
    <cellStyle name="SAPBEXheaderItem 2 6" xfId="46687" xr:uid="{00000000-0005-0000-0000-000001B70000}"/>
    <cellStyle name="SAPBEXheaderItem 3" xfId="46688" xr:uid="{00000000-0005-0000-0000-000002B70000}"/>
    <cellStyle name="SAPBEXheaderItem 3 2" xfId="46689" xr:uid="{00000000-0005-0000-0000-000003B70000}"/>
    <cellStyle name="SAPBEXheaderItem 3 2 2" xfId="46690" xr:uid="{00000000-0005-0000-0000-000004B70000}"/>
    <cellStyle name="SAPBEXheaderItem 3 3" xfId="46691" xr:uid="{00000000-0005-0000-0000-000005B70000}"/>
    <cellStyle name="SAPBEXheaderItem 3 3 2" xfId="46692" xr:uid="{00000000-0005-0000-0000-000006B70000}"/>
    <cellStyle name="SAPBEXheaderItem 3 3 2 2" xfId="46693" xr:uid="{00000000-0005-0000-0000-000007B70000}"/>
    <cellStyle name="SAPBEXheaderItem 3 3 3" xfId="46694" xr:uid="{00000000-0005-0000-0000-000008B70000}"/>
    <cellStyle name="SAPBEXheaderItem 3 4" xfId="46695" xr:uid="{00000000-0005-0000-0000-000009B70000}"/>
    <cellStyle name="SAPBEXheaderItem 3 4 2" xfId="46696" xr:uid="{00000000-0005-0000-0000-00000AB70000}"/>
    <cellStyle name="SAPBEXheaderItem 3 4 2 2" xfId="46697" xr:uid="{00000000-0005-0000-0000-00000BB70000}"/>
    <cellStyle name="SAPBEXheaderItem 3 4 3" xfId="46698" xr:uid="{00000000-0005-0000-0000-00000CB70000}"/>
    <cellStyle name="SAPBEXheaderItem 3 5" xfId="46699" xr:uid="{00000000-0005-0000-0000-00000DB70000}"/>
    <cellStyle name="SAPBEXheaderItem 4" xfId="46700" xr:uid="{00000000-0005-0000-0000-00000EB70000}"/>
    <cellStyle name="SAPBEXheaderItem 4 2" xfId="46701" xr:uid="{00000000-0005-0000-0000-00000FB70000}"/>
    <cellStyle name="SAPBEXheaderItem 4 2 2" xfId="46702" xr:uid="{00000000-0005-0000-0000-000010B70000}"/>
    <cellStyle name="SAPBEXheaderItem 4 3" xfId="46703" xr:uid="{00000000-0005-0000-0000-000011B70000}"/>
    <cellStyle name="SAPBEXheaderItem 4 3 2" xfId="46704" xr:uid="{00000000-0005-0000-0000-000012B70000}"/>
    <cellStyle name="SAPBEXheaderItem 4 3 2 2" xfId="46705" xr:uid="{00000000-0005-0000-0000-000013B70000}"/>
    <cellStyle name="SAPBEXheaderItem 4 3 3" xfId="46706" xr:uid="{00000000-0005-0000-0000-000014B70000}"/>
    <cellStyle name="SAPBEXheaderItem 4 4" xfId="46707" xr:uid="{00000000-0005-0000-0000-000015B70000}"/>
    <cellStyle name="SAPBEXheaderItem 4 4 2" xfId="46708" xr:uid="{00000000-0005-0000-0000-000016B70000}"/>
    <cellStyle name="SAPBEXheaderItem 4 4 2 2" xfId="46709" xr:uid="{00000000-0005-0000-0000-000017B70000}"/>
    <cellStyle name="SAPBEXheaderItem 4 4 3" xfId="46710" xr:uid="{00000000-0005-0000-0000-000018B70000}"/>
    <cellStyle name="SAPBEXheaderItem 4 5" xfId="46711" xr:uid="{00000000-0005-0000-0000-000019B70000}"/>
    <cellStyle name="SAPBEXheaderItem 5" xfId="46712" xr:uid="{00000000-0005-0000-0000-00001AB70000}"/>
    <cellStyle name="SAPBEXheaderItem 5 2" xfId="46713" xr:uid="{00000000-0005-0000-0000-00001BB70000}"/>
    <cellStyle name="SAPBEXheaderItem 5 2 2" xfId="46714" xr:uid="{00000000-0005-0000-0000-00001CB70000}"/>
    <cellStyle name="SAPBEXheaderItem 5 2 2 2" xfId="46715" xr:uid="{00000000-0005-0000-0000-00001DB70000}"/>
    <cellStyle name="SAPBEXheaderItem 5 2 3" xfId="46716" xr:uid="{00000000-0005-0000-0000-00001EB70000}"/>
    <cellStyle name="SAPBEXheaderItem 5 2 3 2" xfId="46717" xr:uid="{00000000-0005-0000-0000-00001FB70000}"/>
    <cellStyle name="SAPBEXheaderItem 5 2 3 2 2" xfId="46718" xr:uid="{00000000-0005-0000-0000-000020B70000}"/>
    <cellStyle name="SAPBEXheaderItem 5 2 3 3" xfId="46719" xr:uid="{00000000-0005-0000-0000-000021B70000}"/>
    <cellStyle name="SAPBEXheaderItem 5 2 4" xfId="46720" xr:uid="{00000000-0005-0000-0000-000022B70000}"/>
    <cellStyle name="SAPBEXheaderItem 5 3" xfId="46721" xr:uid="{00000000-0005-0000-0000-000023B70000}"/>
    <cellStyle name="SAPBEXheaderItem 5 3 2" xfId="46722" xr:uid="{00000000-0005-0000-0000-000024B70000}"/>
    <cellStyle name="SAPBEXheaderItem 5 3 2 2" xfId="46723" xr:uid="{00000000-0005-0000-0000-000025B70000}"/>
    <cellStyle name="SAPBEXheaderItem 5 3 3" xfId="46724" xr:uid="{00000000-0005-0000-0000-000026B70000}"/>
    <cellStyle name="SAPBEXheaderItem 5 4" xfId="46725" xr:uid="{00000000-0005-0000-0000-000027B70000}"/>
    <cellStyle name="SAPBEXheaderItem 5 4 2" xfId="46726" xr:uid="{00000000-0005-0000-0000-000028B70000}"/>
    <cellStyle name="SAPBEXheaderItem 5 4 2 2" xfId="46727" xr:uid="{00000000-0005-0000-0000-000029B70000}"/>
    <cellStyle name="SAPBEXheaderItem 5 4 3" xfId="46728" xr:uid="{00000000-0005-0000-0000-00002AB70000}"/>
    <cellStyle name="SAPBEXheaderItem 5 5" xfId="46729" xr:uid="{00000000-0005-0000-0000-00002BB70000}"/>
    <cellStyle name="SAPBEXheaderItem 5 5 2" xfId="46730" xr:uid="{00000000-0005-0000-0000-00002CB70000}"/>
    <cellStyle name="SAPBEXheaderItem 5 5 2 2" xfId="46731" xr:uid="{00000000-0005-0000-0000-00002DB70000}"/>
    <cellStyle name="SAPBEXheaderItem 5 5 3" xfId="46732" xr:uid="{00000000-0005-0000-0000-00002EB70000}"/>
    <cellStyle name="SAPBEXheaderItem 5 6" xfId="46733" xr:uid="{00000000-0005-0000-0000-00002FB70000}"/>
    <cellStyle name="SAPBEXheaderItem 6" xfId="46734" xr:uid="{00000000-0005-0000-0000-000030B70000}"/>
    <cellStyle name="SAPBEXheaderItem 6 2" xfId="46735" xr:uid="{00000000-0005-0000-0000-000031B70000}"/>
    <cellStyle name="SAPBEXheaderItem 6 2 2" xfId="46736" xr:uid="{00000000-0005-0000-0000-000032B70000}"/>
    <cellStyle name="SAPBEXheaderItem 6 3" xfId="46737" xr:uid="{00000000-0005-0000-0000-000033B70000}"/>
    <cellStyle name="SAPBEXheaderItem 7" xfId="46738" xr:uid="{00000000-0005-0000-0000-000034B70000}"/>
    <cellStyle name="SAPBEXheaderItem 7 2" xfId="46739" xr:uid="{00000000-0005-0000-0000-000035B70000}"/>
    <cellStyle name="SAPBEXheaderItem 7 2 2" xfId="46740" xr:uid="{00000000-0005-0000-0000-000036B70000}"/>
    <cellStyle name="SAPBEXheaderItem 7 3" xfId="46741" xr:uid="{00000000-0005-0000-0000-000037B70000}"/>
    <cellStyle name="SAPBEXheaderItem 8" xfId="46742" xr:uid="{00000000-0005-0000-0000-000038B70000}"/>
    <cellStyle name="SAPBEXheaderItem 8 2" xfId="46743" xr:uid="{00000000-0005-0000-0000-000039B70000}"/>
    <cellStyle name="SAPBEXheaderItem 8 2 2" xfId="46744" xr:uid="{00000000-0005-0000-0000-00003AB70000}"/>
    <cellStyle name="SAPBEXheaderItem 8 3" xfId="46745" xr:uid="{00000000-0005-0000-0000-00003BB70000}"/>
    <cellStyle name="SAPBEXheaderItem 9" xfId="46746" xr:uid="{00000000-0005-0000-0000-00003CB70000}"/>
    <cellStyle name="SAPBEXheaderItem 9 2" xfId="46747" xr:uid="{00000000-0005-0000-0000-00003DB70000}"/>
    <cellStyle name="SAPBEXheaderText" xfId="59" xr:uid="{00000000-0005-0000-0000-00003EB70000}"/>
    <cellStyle name="SAPBEXheaderText 10" xfId="46748" xr:uid="{00000000-0005-0000-0000-00003FB70000}"/>
    <cellStyle name="SAPBEXheaderText 10 2" xfId="46749" xr:uid="{00000000-0005-0000-0000-000040B70000}"/>
    <cellStyle name="SAPBEXheaderText 11" xfId="46750" xr:uid="{00000000-0005-0000-0000-000041B70000}"/>
    <cellStyle name="SAPBEXheaderText 11 2" xfId="46751" xr:uid="{00000000-0005-0000-0000-000042B70000}"/>
    <cellStyle name="SAPBEXheaderText 12" xfId="46752" xr:uid="{00000000-0005-0000-0000-000043B70000}"/>
    <cellStyle name="SAPBEXheaderText 12 2" xfId="46753" xr:uid="{00000000-0005-0000-0000-000044B70000}"/>
    <cellStyle name="SAPBEXheaderText 13" xfId="46754" xr:uid="{00000000-0005-0000-0000-000045B70000}"/>
    <cellStyle name="SAPBEXheaderText 13 2" xfId="46755" xr:uid="{00000000-0005-0000-0000-000046B70000}"/>
    <cellStyle name="SAPBEXheaderText 14" xfId="46756" xr:uid="{00000000-0005-0000-0000-000047B70000}"/>
    <cellStyle name="SAPBEXheaderText 2" xfId="46757" xr:uid="{00000000-0005-0000-0000-000048B70000}"/>
    <cellStyle name="SAPBEXheaderText 2 2" xfId="46758" xr:uid="{00000000-0005-0000-0000-000049B70000}"/>
    <cellStyle name="SAPBEXheaderText 2 2 2" xfId="46759" xr:uid="{00000000-0005-0000-0000-00004AB70000}"/>
    <cellStyle name="SAPBEXheaderText 2 2 2 2" xfId="46760" xr:uid="{00000000-0005-0000-0000-00004BB70000}"/>
    <cellStyle name="SAPBEXheaderText 2 2 2 2 2" xfId="46761" xr:uid="{00000000-0005-0000-0000-00004CB70000}"/>
    <cellStyle name="SAPBEXheaderText 2 2 2 2 2 2" xfId="46762" xr:uid="{00000000-0005-0000-0000-00004DB70000}"/>
    <cellStyle name="SAPBEXheaderText 2 2 2 2 3" xfId="46763" xr:uid="{00000000-0005-0000-0000-00004EB70000}"/>
    <cellStyle name="SAPBEXheaderText 2 2 2 3" xfId="46764" xr:uid="{00000000-0005-0000-0000-00004FB70000}"/>
    <cellStyle name="SAPBEXheaderText 2 2 2 3 2" xfId="46765" xr:uid="{00000000-0005-0000-0000-000050B70000}"/>
    <cellStyle name="SAPBEXheaderText 2 2 2 4" xfId="46766" xr:uid="{00000000-0005-0000-0000-000051B70000}"/>
    <cellStyle name="SAPBEXheaderText 2 2 3" xfId="46767" xr:uid="{00000000-0005-0000-0000-000052B70000}"/>
    <cellStyle name="SAPBEXheaderText 2 2 3 2" xfId="46768" xr:uid="{00000000-0005-0000-0000-000053B70000}"/>
    <cellStyle name="SAPBEXheaderText 2 2 3 2 2" xfId="46769" xr:uid="{00000000-0005-0000-0000-000054B70000}"/>
    <cellStyle name="SAPBEXheaderText 2 2 3 3" xfId="46770" xr:uid="{00000000-0005-0000-0000-000055B70000}"/>
    <cellStyle name="SAPBEXheaderText 2 2 4" xfId="46771" xr:uid="{00000000-0005-0000-0000-000056B70000}"/>
    <cellStyle name="SAPBEXheaderText 2 2 4 2" xfId="46772" xr:uid="{00000000-0005-0000-0000-000057B70000}"/>
    <cellStyle name="SAPBEXheaderText 2 2 4 2 2" xfId="46773" xr:uid="{00000000-0005-0000-0000-000058B70000}"/>
    <cellStyle name="SAPBEXheaderText 2 2 4 3" xfId="46774" xr:uid="{00000000-0005-0000-0000-000059B70000}"/>
    <cellStyle name="SAPBEXheaderText 2 2 5" xfId="46775" xr:uid="{00000000-0005-0000-0000-00005AB70000}"/>
    <cellStyle name="SAPBEXheaderText 2 2 5 2" xfId="46776" xr:uid="{00000000-0005-0000-0000-00005BB70000}"/>
    <cellStyle name="SAPBEXheaderText 2 2 6" xfId="46777" xr:uid="{00000000-0005-0000-0000-00005CB70000}"/>
    <cellStyle name="SAPBEXheaderText 2 3" xfId="46778" xr:uid="{00000000-0005-0000-0000-00005DB70000}"/>
    <cellStyle name="SAPBEXheaderText 2 3 2" xfId="46779" xr:uid="{00000000-0005-0000-0000-00005EB70000}"/>
    <cellStyle name="SAPBEXheaderText 2 4" xfId="46780" xr:uid="{00000000-0005-0000-0000-00005FB70000}"/>
    <cellStyle name="SAPBEXheaderText 2 4 2" xfId="46781" xr:uid="{00000000-0005-0000-0000-000060B70000}"/>
    <cellStyle name="SAPBEXheaderText 2 4 2 2" xfId="46782" xr:uid="{00000000-0005-0000-0000-000061B70000}"/>
    <cellStyle name="SAPBEXheaderText 2 4 3" xfId="46783" xr:uid="{00000000-0005-0000-0000-000062B70000}"/>
    <cellStyle name="SAPBEXheaderText 2 5" xfId="46784" xr:uid="{00000000-0005-0000-0000-000063B70000}"/>
    <cellStyle name="SAPBEXheaderText 2 5 2" xfId="46785" xr:uid="{00000000-0005-0000-0000-000064B70000}"/>
    <cellStyle name="SAPBEXheaderText 2 5 2 2" xfId="46786" xr:uid="{00000000-0005-0000-0000-000065B70000}"/>
    <cellStyle name="SAPBEXheaderText 2 5 3" xfId="46787" xr:uid="{00000000-0005-0000-0000-000066B70000}"/>
    <cellStyle name="SAPBEXheaderText 2 6" xfId="46788" xr:uid="{00000000-0005-0000-0000-000067B70000}"/>
    <cellStyle name="SAPBEXheaderText 3" xfId="46789" xr:uid="{00000000-0005-0000-0000-000068B70000}"/>
    <cellStyle name="SAPBEXheaderText 3 2" xfId="46790" xr:uid="{00000000-0005-0000-0000-000069B70000}"/>
    <cellStyle name="SAPBEXheaderText 3 2 2" xfId="46791" xr:uid="{00000000-0005-0000-0000-00006AB70000}"/>
    <cellStyle name="SAPBEXheaderText 3 3" xfId="46792" xr:uid="{00000000-0005-0000-0000-00006BB70000}"/>
    <cellStyle name="SAPBEXheaderText 3 3 2" xfId="46793" xr:uid="{00000000-0005-0000-0000-00006CB70000}"/>
    <cellStyle name="SAPBEXheaderText 3 3 2 2" xfId="46794" xr:uid="{00000000-0005-0000-0000-00006DB70000}"/>
    <cellStyle name="SAPBEXheaderText 3 3 3" xfId="46795" xr:uid="{00000000-0005-0000-0000-00006EB70000}"/>
    <cellStyle name="SAPBEXheaderText 3 4" xfId="46796" xr:uid="{00000000-0005-0000-0000-00006FB70000}"/>
    <cellStyle name="SAPBEXheaderText 3 4 2" xfId="46797" xr:uid="{00000000-0005-0000-0000-000070B70000}"/>
    <cellStyle name="SAPBEXheaderText 3 4 2 2" xfId="46798" xr:uid="{00000000-0005-0000-0000-000071B70000}"/>
    <cellStyle name="SAPBEXheaderText 3 4 3" xfId="46799" xr:uid="{00000000-0005-0000-0000-000072B70000}"/>
    <cellStyle name="SAPBEXheaderText 3 5" xfId="46800" xr:uid="{00000000-0005-0000-0000-000073B70000}"/>
    <cellStyle name="SAPBEXheaderText 4" xfId="46801" xr:uid="{00000000-0005-0000-0000-000074B70000}"/>
    <cellStyle name="SAPBEXheaderText 4 2" xfId="46802" xr:uid="{00000000-0005-0000-0000-000075B70000}"/>
    <cellStyle name="SAPBEXheaderText 4 2 2" xfId="46803" xr:uid="{00000000-0005-0000-0000-000076B70000}"/>
    <cellStyle name="SAPBEXheaderText 4 3" xfId="46804" xr:uid="{00000000-0005-0000-0000-000077B70000}"/>
    <cellStyle name="SAPBEXheaderText 4 3 2" xfId="46805" xr:uid="{00000000-0005-0000-0000-000078B70000}"/>
    <cellStyle name="SAPBEXheaderText 4 3 2 2" xfId="46806" xr:uid="{00000000-0005-0000-0000-000079B70000}"/>
    <cellStyle name="SAPBEXheaderText 4 3 3" xfId="46807" xr:uid="{00000000-0005-0000-0000-00007AB70000}"/>
    <cellStyle name="SAPBEXheaderText 4 4" xfId="46808" xr:uid="{00000000-0005-0000-0000-00007BB70000}"/>
    <cellStyle name="SAPBEXheaderText 4 4 2" xfId="46809" xr:uid="{00000000-0005-0000-0000-00007CB70000}"/>
    <cellStyle name="SAPBEXheaderText 4 4 2 2" xfId="46810" xr:uid="{00000000-0005-0000-0000-00007DB70000}"/>
    <cellStyle name="SAPBEXheaderText 4 4 3" xfId="46811" xr:uid="{00000000-0005-0000-0000-00007EB70000}"/>
    <cellStyle name="SAPBEXheaderText 4 5" xfId="46812" xr:uid="{00000000-0005-0000-0000-00007FB70000}"/>
    <cellStyle name="SAPBEXheaderText 5" xfId="46813" xr:uid="{00000000-0005-0000-0000-000080B70000}"/>
    <cellStyle name="SAPBEXheaderText 5 2" xfId="46814" xr:uid="{00000000-0005-0000-0000-000081B70000}"/>
    <cellStyle name="SAPBEXheaderText 5 2 2" xfId="46815" xr:uid="{00000000-0005-0000-0000-000082B70000}"/>
    <cellStyle name="SAPBEXheaderText 5 2 2 2" xfId="46816" xr:uid="{00000000-0005-0000-0000-000083B70000}"/>
    <cellStyle name="SAPBEXheaderText 5 2 3" xfId="46817" xr:uid="{00000000-0005-0000-0000-000084B70000}"/>
    <cellStyle name="SAPBEXheaderText 5 2 3 2" xfId="46818" xr:uid="{00000000-0005-0000-0000-000085B70000}"/>
    <cellStyle name="SAPBEXheaderText 5 2 3 2 2" xfId="46819" xr:uid="{00000000-0005-0000-0000-000086B70000}"/>
    <cellStyle name="SAPBEXheaderText 5 2 3 3" xfId="46820" xr:uid="{00000000-0005-0000-0000-000087B70000}"/>
    <cellStyle name="SAPBEXheaderText 5 2 4" xfId="46821" xr:uid="{00000000-0005-0000-0000-000088B70000}"/>
    <cellStyle name="SAPBEXheaderText 5 3" xfId="46822" xr:uid="{00000000-0005-0000-0000-000089B70000}"/>
    <cellStyle name="SAPBEXheaderText 5 3 2" xfId="46823" xr:uid="{00000000-0005-0000-0000-00008AB70000}"/>
    <cellStyle name="SAPBEXheaderText 5 3 2 2" xfId="46824" xr:uid="{00000000-0005-0000-0000-00008BB70000}"/>
    <cellStyle name="SAPBEXheaderText 5 3 3" xfId="46825" xr:uid="{00000000-0005-0000-0000-00008CB70000}"/>
    <cellStyle name="SAPBEXheaderText 5 4" xfId="46826" xr:uid="{00000000-0005-0000-0000-00008DB70000}"/>
    <cellStyle name="SAPBEXheaderText 5 4 2" xfId="46827" xr:uid="{00000000-0005-0000-0000-00008EB70000}"/>
    <cellStyle name="SAPBEXheaderText 5 4 2 2" xfId="46828" xr:uid="{00000000-0005-0000-0000-00008FB70000}"/>
    <cellStyle name="SAPBEXheaderText 5 4 3" xfId="46829" xr:uid="{00000000-0005-0000-0000-000090B70000}"/>
    <cellStyle name="SAPBEXheaderText 5 5" xfId="46830" xr:uid="{00000000-0005-0000-0000-000091B70000}"/>
    <cellStyle name="SAPBEXheaderText 5 5 2" xfId="46831" xr:uid="{00000000-0005-0000-0000-000092B70000}"/>
    <cellStyle name="SAPBEXheaderText 5 5 2 2" xfId="46832" xr:uid="{00000000-0005-0000-0000-000093B70000}"/>
    <cellStyle name="SAPBEXheaderText 5 5 3" xfId="46833" xr:uid="{00000000-0005-0000-0000-000094B70000}"/>
    <cellStyle name="SAPBEXheaderText 5 6" xfId="46834" xr:uid="{00000000-0005-0000-0000-000095B70000}"/>
    <cellStyle name="SAPBEXheaderText 6" xfId="46835" xr:uid="{00000000-0005-0000-0000-000096B70000}"/>
    <cellStyle name="SAPBEXheaderText 6 2" xfId="46836" xr:uid="{00000000-0005-0000-0000-000097B70000}"/>
    <cellStyle name="SAPBEXheaderText 6 2 2" xfId="46837" xr:uid="{00000000-0005-0000-0000-000098B70000}"/>
    <cellStyle name="SAPBEXheaderText 6 3" xfId="46838" xr:uid="{00000000-0005-0000-0000-000099B70000}"/>
    <cellStyle name="SAPBEXheaderText 7" xfId="46839" xr:uid="{00000000-0005-0000-0000-00009AB70000}"/>
    <cellStyle name="SAPBEXheaderText 7 2" xfId="46840" xr:uid="{00000000-0005-0000-0000-00009BB70000}"/>
    <cellStyle name="SAPBEXheaderText 7 2 2" xfId="46841" xr:uid="{00000000-0005-0000-0000-00009CB70000}"/>
    <cellStyle name="SAPBEXheaderText 7 3" xfId="46842" xr:uid="{00000000-0005-0000-0000-00009DB70000}"/>
    <cellStyle name="SAPBEXheaderText 8" xfId="46843" xr:uid="{00000000-0005-0000-0000-00009EB70000}"/>
    <cellStyle name="SAPBEXheaderText 8 2" xfId="46844" xr:uid="{00000000-0005-0000-0000-00009FB70000}"/>
    <cellStyle name="SAPBEXheaderText 8 2 2" xfId="46845" xr:uid="{00000000-0005-0000-0000-0000A0B70000}"/>
    <cellStyle name="SAPBEXheaderText 8 3" xfId="46846" xr:uid="{00000000-0005-0000-0000-0000A1B70000}"/>
    <cellStyle name="SAPBEXheaderText 9" xfId="46847" xr:uid="{00000000-0005-0000-0000-0000A2B70000}"/>
    <cellStyle name="SAPBEXheaderText 9 2" xfId="46848" xr:uid="{00000000-0005-0000-0000-0000A3B70000}"/>
    <cellStyle name="SAPBEXHLevel0" xfId="60" xr:uid="{00000000-0005-0000-0000-0000A4B70000}"/>
    <cellStyle name="SAPBEXHLevel0 10" xfId="46849" xr:uid="{00000000-0005-0000-0000-0000A5B70000}"/>
    <cellStyle name="SAPBEXHLevel0 10 2" xfId="46850" xr:uid="{00000000-0005-0000-0000-0000A6B70000}"/>
    <cellStyle name="SAPBEXHLevel0 10 2 2" xfId="46851" xr:uid="{00000000-0005-0000-0000-0000A7B70000}"/>
    <cellStyle name="SAPBEXHLevel0 10 3" xfId="46852" xr:uid="{00000000-0005-0000-0000-0000A8B70000}"/>
    <cellStyle name="SAPBEXHLevel0 11" xfId="46853" xr:uid="{00000000-0005-0000-0000-0000A9B70000}"/>
    <cellStyle name="SAPBEXHLevel0 11 2" xfId="46854" xr:uid="{00000000-0005-0000-0000-0000AAB70000}"/>
    <cellStyle name="SAPBEXHLevel0 12" xfId="46855" xr:uid="{00000000-0005-0000-0000-0000ABB70000}"/>
    <cellStyle name="SAPBEXHLevel0 12 2" xfId="46856" xr:uid="{00000000-0005-0000-0000-0000ACB70000}"/>
    <cellStyle name="SAPBEXHLevel0 12 2 2" xfId="46857" xr:uid="{00000000-0005-0000-0000-0000ADB70000}"/>
    <cellStyle name="SAPBEXHLevel0 12 3" xfId="46858" xr:uid="{00000000-0005-0000-0000-0000AEB70000}"/>
    <cellStyle name="SAPBEXHLevel0 12 3 2" xfId="46859" xr:uid="{00000000-0005-0000-0000-0000AFB70000}"/>
    <cellStyle name="SAPBEXHLevel0 12 4" xfId="46860" xr:uid="{00000000-0005-0000-0000-0000B0B70000}"/>
    <cellStyle name="SAPBEXHLevel0 13" xfId="46861" xr:uid="{00000000-0005-0000-0000-0000B1B70000}"/>
    <cellStyle name="SAPBEXHLevel0 13 2" xfId="46862" xr:uid="{00000000-0005-0000-0000-0000B2B70000}"/>
    <cellStyle name="SAPBEXHLevel0 14" xfId="46863" xr:uid="{00000000-0005-0000-0000-0000B3B70000}"/>
    <cellStyle name="SAPBEXHLevel0 14 2" xfId="46864" xr:uid="{00000000-0005-0000-0000-0000B4B70000}"/>
    <cellStyle name="SAPBEXHLevel0 14 3" xfId="46865" xr:uid="{00000000-0005-0000-0000-0000B5B70000}"/>
    <cellStyle name="SAPBEXHLevel0 15" xfId="46866" xr:uid="{00000000-0005-0000-0000-0000B6B70000}"/>
    <cellStyle name="SAPBEXHLevel0 15 2" xfId="46867" xr:uid="{00000000-0005-0000-0000-0000B7B70000}"/>
    <cellStyle name="SAPBEXHLevel0 16" xfId="46868" xr:uid="{00000000-0005-0000-0000-0000B8B70000}"/>
    <cellStyle name="SAPBEXHLevel0 16 2" xfId="46869" xr:uid="{00000000-0005-0000-0000-0000B9B70000}"/>
    <cellStyle name="SAPBEXHLevel0 17" xfId="46870" xr:uid="{00000000-0005-0000-0000-0000BAB70000}"/>
    <cellStyle name="SAPBEXHLevel0 18" xfId="46871" xr:uid="{00000000-0005-0000-0000-0000BBB70000}"/>
    <cellStyle name="SAPBEXHLevel0 2" xfId="84" xr:uid="{00000000-0005-0000-0000-0000BCB70000}"/>
    <cellStyle name="SAPBEXHLevel0 2 10" xfId="46872" xr:uid="{00000000-0005-0000-0000-0000BDB70000}"/>
    <cellStyle name="SAPBEXHLevel0 2 2" xfId="46873" xr:uid="{00000000-0005-0000-0000-0000BEB70000}"/>
    <cellStyle name="SAPBEXHLevel0 2 2 2" xfId="46874" xr:uid="{00000000-0005-0000-0000-0000BFB70000}"/>
    <cellStyle name="SAPBEXHLevel0 2 2 2 2" xfId="46875" xr:uid="{00000000-0005-0000-0000-0000C0B70000}"/>
    <cellStyle name="SAPBEXHLevel0 2 2 2 2 2" xfId="46876" xr:uid="{00000000-0005-0000-0000-0000C1B70000}"/>
    <cellStyle name="SAPBEXHLevel0 2 2 2 3" xfId="46877" xr:uid="{00000000-0005-0000-0000-0000C2B70000}"/>
    <cellStyle name="SAPBEXHLevel0 2 2 3" xfId="46878" xr:uid="{00000000-0005-0000-0000-0000C3B70000}"/>
    <cellStyle name="SAPBEXHLevel0 2 2 3 2" xfId="46879" xr:uid="{00000000-0005-0000-0000-0000C4B70000}"/>
    <cellStyle name="SAPBEXHLevel0 2 2 3 2 2" xfId="46880" xr:uid="{00000000-0005-0000-0000-0000C5B70000}"/>
    <cellStyle name="SAPBEXHLevel0 2 2 3 3" xfId="46881" xr:uid="{00000000-0005-0000-0000-0000C6B70000}"/>
    <cellStyle name="SAPBEXHLevel0 2 2 4" xfId="46882" xr:uid="{00000000-0005-0000-0000-0000C7B70000}"/>
    <cellStyle name="SAPBEXHLevel0 2 2 4 2" xfId="46883" xr:uid="{00000000-0005-0000-0000-0000C8B70000}"/>
    <cellStyle name="SAPBEXHLevel0 2 2 4 2 2" xfId="46884" xr:uid="{00000000-0005-0000-0000-0000C9B70000}"/>
    <cellStyle name="SAPBEXHLevel0 2 2 4 3" xfId="46885" xr:uid="{00000000-0005-0000-0000-0000CAB70000}"/>
    <cellStyle name="SAPBEXHLevel0 2 2 5" xfId="46886" xr:uid="{00000000-0005-0000-0000-0000CBB70000}"/>
    <cellStyle name="SAPBEXHLevel0 2 2 5 2" xfId="46887" xr:uid="{00000000-0005-0000-0000-0000CCB70000}"/>
    <cellStyle name="SAPBEXHLevel0 2 2 6" xfId="46888" xr:uid="{00000000-0005-0000-0000-0000CDB70000}"/>
    <cellStyle name="SAPBEXHLevel0 2 3" xfId="46889" xr:uid="{00000000-0005-0000-0000-0000CEB70000}"/>
    <cellStyle name="SAPBEXHLevel0 2 3 2" xfId="46890" xr:uid="{00000000-0005-0000-0000-0000CFB70000}"/>
    <cellStyle name="SAPBEXHLevel0 2 3 2 2" xfId="46891" xr:uid="{00000000-0005-0000-0000-0000D0B70000}"/>
    <cellStyle name="SAPBEXHLevel0 2 3 2 2 2" xfId="46892" xr:uid="{00000000-0005-0000-0000-0000D1B70000}"/>
    <cellStyle name="SAPBEXHLevel0 2 3 2 2 2 2" xfId="46893" xr:uid="{00000000-0005-0000-0000-0000D2B70000}"/>
    <cellStyle name="SAPBEXHLevel0 2 3 2 2 3" xfId="46894" xr:uid="{00000000-0005-0000-0000-0000D3B70000}"/>
    <cellStyle name="SAPBEXHLevel0 2 3 2 3" xfId="46895" xr:uid="{00000000-0005-0000-0000-0000D4B70000}"/>
    <cellStyle name="SAPBEXHLevel0 2 3 2 3 2" xfId="46896" xr:uid="{00000000-0005-0000-0000-0000D5B70000}"/>
    <cellStyle name="SAPBEXHLevel0 2 3 2 3 2 2" xfId="46897" xr:uid="{00000000-0005-0000-0000-0000D6B70000}"/>
    <cellStyle name="SAPBEXHLevel0 2 3 2 3 3" xfId="46898" xr:uid="{00000000-0005-0000-0000-0000D7B70000}"/>
    <cellStyle name="SAPBEXHLevel0 2 3 2 4" xfId="46899" xr:uid="{00000000-0005-0000-0000-0000D8B70000}"/>
    <cellStyle name="SAPBEXHLevel0 2 3 2 4 2" xfId="46900" xr:uid="{00000000-0005-0000-0000-0000D9B70000}"/>
    <cellStyle name="SAPBEXHLevel0 2 3 2 5" xfId="46901" xr:uid="{00000000-0005-0000-0000-0000DAB70000}"/>
    <cellStyle name="SAPBEXHLevel0 2 3 3" xfId="46902" xr:uid="{00000000-0005-0000-0000-0000DBB70000}"/>
    <cellStyle name="SAPBEXHLevel0 2 3 3 2" xfId="46903" xr:uid="{00000000-0005-0000-0000-0000DCB70000}"/>
    <cellStyle name="SAPBEXHLevel0 2 3 3 2 2" xfId="46904" xr:uid="{00000000-0005-0000-0000-0000DDB70000}"/>
    <cellStyle name="SAPBEXHLevel0 2 3 3 2 2 2" xfId="46905" xr:uid="{00000000-0005-0000-0000-0000DEB70000}"/>
    <cellStyle name="SAPBEXHLevel0 2 3 3 2 3" xfId="46906" xr:uid="{00000000-0005-0000-0000-0000DFB70000}"/>
    <cellStyle name="SAPBEXHLevel0 2 3 3 3" xfId="46907" xr:uid="{00000000-0005-0000-0000-0000E0B70000}"/>
    <cellStyle name="SAPBEXHLevel0 2 3 3 3 2" xfId="46908" xr:uid="{00000000-0005-0000-0000-0000E1B70000}"/>
    <cellStyle name="SAPBEXHLevel0 2 3 3 4" xfId="46909" xr:uid="{00000000-0005-0000-0000-0000E2B70000}"/>
    <cellStyle name="SAPBEXHLevel0 2 3 4" xfId="46910" xr:uid="{00000000-0005-0000-0000-0000E3B70000}"/>
    <cellStyle name="SAPBEXHLevel0 2 3 4 2" xfId="46911" xr:uid="{00000000-0005-0000-0000-0000E4B70000}"/>
    <cellStyle name="SAPBEXHLevel0 2 3 4 2 2" xfId="46912" xr:uid="{00000000-0005-0000-0000-0000E5B70000}"/>
    <cellStyle name="SAPBEXHLevel0 2 3 4 3" xfId="46913" xr:uid="{00000000-0005-0000-0000-0000E6B70000}"/>
    <cellStyle name="SAPBEXHLevel0 2 3 5" xfId="46914" xr:uid="{00000000-0005-0000-0000-0000E7B70000}"/>
    <cellStyle name="SAPBEXHLevel0 2 3 5 2" xfId="46915" xr:uid="{00000000-0005-0000-0000-0000E8B70000}"/>
    <cellStyle name="SAPBEXHLevel0 2 3 5 2 2" xfId="46916" xr:uid="{00000000-0005-0000-0000-0000E9B70000}"/>
    <cellStyle name="SAPBEXHLevel0 2 3 5 3" xfId="46917" xr:uid="{00000000-0005-0000-0000-0000EAB70000}"/>
    <cellStyle name="SAPBEXHLevel0 2 3 6" xfId="46918" xr:uid="{00000000-0005-0000-0000-0000EBB70000}"/>
    <cellStyle name="SAPBEXHLevel0 2 3 6 2" xfId="46919" xr:uid="{00000000-0005-0000-0000-0000ECB70000}"/>
    <cellStyle name="SAPBEXHLevel0 2 3 7" xfId="46920" xr:uid="{00000000-0005-0000-0000-0000EDB70000}"/>
    <cellStyle name="SAPBEXHLevel0 2 4" xfId="46921" xr:uid="{00000000-0005-0000-0000-0000EEB70000}"/>
    <cellStyle name="SAPBEXHLevel0 2 4 2" xfId="46922" xr:uid="{00000000-0005-0000-0000-0000EFB70000}"/>
    <cellStyle name="SAPBEXHLevel0 2 4 2 2" xfId="46923" xr:uid="{00000000-0005-0000-0000-0000F0B70000}"/>
    <cellStyle name="SAPBEXHLevel0 2 4 2 2 2" xfId="46924" xr:uid="{00000000-0005-0000-0000-0000F1B70000}"/>
    <cellStyle name="SAPBEXHLevel0 2 4 2 2 2 2" xfId="46925" xr:uid="{00000000-0005-0000-0000-0000F2B70000}"/>
    <cellStyle name="SAPBEXHLevel0 2 4 2 2 2 2 2" xfId="46926" xr:uid="{00000000-0005-0000-0000-0000F3B70000}"/>
    <cellStyle name="SAPBEXHLevel0 2 4 2 2 2 2 2 2" xfId="46927" xr:uid="{00000000-0005-0000-0000-0000F4B70000}"/>
    <cellStyle name="SAPBEXHLevel0 2 4 2 2 2 2 3" xfId="46928" xr:uid="{00000000-0005-0000-0000-0000F5B70000}"/>
    <cellStyle name="SAPBEXHLevel0 2 4 2 2 2 3" xfId="46929" xr:uid="{00000000-0005-0000-0000-0000F6B70000}"/>
    <cellStyle name="SAPBEXHLevel0 2 4 2 2 2 3 2" xfId="46930" xr:uid="{00000000-0005-0000-0000-0000F7B70000}"/>
    <cellStyle name="SAPBEXHLevel0 2 4 2 2 2 4" xfId="46931" xr:uid="{00000000-0005-0000-0000-0000F8B70000}"/>
    <cellStyle name="SAPBEXHLevel0 2 4 2 2 3" xfId="46932" xr:uid="{00000000-0005-0000-0000-0000F9B70000}"/>
    <cellStyle name="SAPBEXHLevel0 2 4 2 2 3 2" xfId="46933" xr:uid="{00000000-0005-0000-0000-0000FAB70000}"/>
    <cellStyle name="SAPBEXHLevel0 2 4 2 2 3 2 2" xfId="46934" xr:uid="{00000000-0005-0000-0000-0000FBB70000}"/>
    <cellStyle name="SAPBEXHLevel0 2 4 2 2 3 3" xfId="46935" xr:uid="{00000000-0005-0000-0000-0000FCB70000}"/>
    <cellStyle name="SAPBEXHLevel0 2 4 2 2 4" xfId="46936" xr:uid="{00000000-0005-0000-0000-0000FDB70000}"/>
    <cellStyle name="SAPBEXHLevel0 2 4 2 2 4 2" xfId="46937" xr:uid="{00000000-0005-0000-0000-0000FEB70000}"/>
    <cellStyle name="SAPBEXHLevel0 2 4 2 2 5" xfId="46938" xr:uid="{00000000-0005-0000-0000-0000FFB70000}"/>
    <cellStyle name="SAPBEXHLevel0 2 4 2 3" xfId="46939" xr:uid="{00000000-0005-0000-0000-000000B80000}"/>
    <cellStyle name="SAPBEXHLevel0 2 4 2 3 2" xfId="46940" xr:uid="{00000000-0005-0000-0000-000001B80000}"/>
    <cellStyle name="SAPBEXHLevel0 2 4 2 3 2 2" xfId="46941" xr:uid="{00000000-0005-0000-0000-000002B80000}"/>
    <cellStyle name="SAPBEXHLevel0 2 4 2 3 3" xfId="46942" xr:uid="{00000000-0005-0000-0000-000003B80000}"/>
    <cellStyle name="SAPBEXHLevel0 2 4 2 4" xfId="46943" xr:uid="{00000000-0005-0000-0000-000004B80000}"/>
    <cellStyle name="SAPBEXHLevel0 2 4 2 4 2" xfId="46944" xr:uid="{00000000-0005-0000-0000-000005B80000}"/>
    <cellStyle name="SAPBEXHLevel0 2 4 2 4 2 2" xfId="46945" xr:uid="{00000000-0005-0000-0000-000006B80000}"/>
    <cellStyle name="SAPBEXHLevel0 2 4 2 4 2 2 2" xfId="46946" xr:uid="{00000000-0005-0000-0000-000007B80000}"/>
    <cellStyle name="SAPBEXHLevel0 2 4 2 4 2 3" xfId="46947" xr:uid="{00000000-0005-0000-0000-000008B80000}"/>
    <cellStyle name="SAPBEXHLevel0 2 4 2 4 3" xfId="46948" xr:uid="{00000000-0005-0000-0000-000009B80000}"/>
    <cellStyle name="SAPBEXHLevel0 2 4 2 4 3 2" xfId="46949" xr:uid="{00000000-0005-0000-0000-00000AB80000}"/>
    <cellStyle name="SAPBEXHLevel0 2 4 2 4 4" xfId="46950" xr:uid="{00000000-0005-0000-0000-00000BB80000}"/>
    <cellStyle name="SAPBEXHLevel0 2 4 2 5" xfId="46951" xr:uid="{00000000-0005-0000-0000-00000CB80000}"/>
    <cellStyle name="SAPBEXHLevel0 2 4 2 5 2" xfId="46952" xr:uid="{00000000-0005-0000-0000-00000DB80000}"/>
    <cellStyle name="SAPBEXHLevel0 2 4 2 5 2 2" xfId="46953" xr:uid="{00000000-0005-0000-0000-00000EB80000}"/>
    <cellStyle name="SAPBEXHLevel0 2 4 2 5 3" xfId="46954" xr:uid="{00000000-0005-0000-0000-00000FB80000}"/>
    <cellStyle name="SAPBEXHLevel0 2 4 2 6" xfId="46955" xr:uid="{00000000-0005-0000-0000-000010B80000}"/>
    <cellStyle name="SAPBEXHLevel0 2 4 2 6 2" xfId="46956" xr:uid="{00000000-0005-0000-0000-000011B80000}"/>
    <cellStyle name="SAPBEXHLevel0 2 4 2 7" xfId="46957" xr:uid="{00000000-0005-0000-0000-000012B80000}"/>
    <cellStyle name="SAPBEXHLevel0 2 4 3" xfId="46958" xr:uid="{00000000-0005-0000-0000-000013B80000}"/>
    <cellStyle name="SAPBEXHLevel0 2 4 3 2" xfId="46959" xr:uid="{00000000-0005-0000-0000-000014B80000}"/>
    <cellStyle name="SAPBEXHLevel0 2 4 3 2 2" xfId="46960" xr:uid="{00000000-0005-0000-0000-000015B80000}"/>
    <cellStyle name="SAPBEXHLevel0 2 4 3 2 2 2" xfId="46961" xr:uid="{00000000-0005-0000-0000-000016B80000}"/>
    <cellStyle name="SAPBEXHLevel0 2 4 3 2 2 2 2" xfId="46962" xr:uid="{00000000-0005-0000-0000-000017B80000}"/>
    <cellStyle name="SAPBEXHLevel0 2 4 3 2 2 2 2 2" xfId="46963" xr:uid="{00000000-0005-0000-0000-000018B80000}"/>
    <cellStyle name="SAPBEXHLevel0 2 4 3 2 2 2 3" xfId="46964" xr:uid="{00000000-0005-0000-0000-000019B80000}"/>
    <cellStyle name="SAPBEXHLevel0 2 4 3 2 2 3" xfId="46965" xr:uid="{00000000-0005-0000-0000-00001AB80000}"/>
    <cellStyle name="SAPBEXHLevel0 2 4 3 2 2 3 2" xfId="46966" xr:uid="{00000000-0005-0000-0000-00001BB80000}"/>
    <cellStyle name="SAPBEXHLevel0 2 4 3 2 2 4" xfId="46967" xr:uid="{00000000-0005-0000-0000-00001CB80000}"/>
    <cellStyle name="SAPBEXHLevel0 2 4 3 2 3" xfId="46968" xr:uid="{00000000-0005-0000-0000-00001DB80000}"/>
    <cellStyle name="SAPBEXHLevel0 2 4 3 2 3 2" xfId="46969" xr:uid="{00000000-0005-0000-0000-00001EB80000}"/>
    <cellStyle name="SAPBEXHLevel0 2 4 3 2 3 2 2" xfId="46970" xr:uid="{00000000-0005-0000-0000-00001FB80000}"/>
    <cellStyle name="SAPBEXHLevel0 2 4 3 2 3 3" xfId="46971" xr:uid="{00000000-0005-0000-0000-000020B80000}"/>
    <cellStyle name="SAPBEXHLevel0 2 4 3 2 4" xfId="46972" xr:uid="{00000000-0005-0000-0000-000021B80000}"/>
    <cellStyle name="SAPBEXHLevel0 2 4 3 2 4 2" xfId="46973" xr:uid="{00000000-0005-0000-0000-000022B80000}"/>
    <cellStyle name="SAPBEXHLevel0 2 4 3 2 5" xfId="46974" xr:uid="{00000000-0005-0000-0000-000023B80000}"/>
    <cellStyle name="SAPBEXHLevel0 2 4 3 3" xfId="46975" xr:uid="{00000000-0005-0000-0000-000024B80000}"/>
    <cellStyle name="SAPBEXHLevel0 2 4 3 3 2" xfId="46976" xr:uid="{00000000-0005-0000-0000-000025B80000}"/>
    <cellStyle name="SAPBEXHLevel0 2 4 3 3 2 2" xfId="46977" xr:uid="{00000000-0005-0000-0000-000026B80000}"/>
    <cellStyle name="SAPBEXHLevel0 2 4 3 3 2 2 2" xfId="46978" xr:uid="{00000000-0005-0000-0000-000027B80000}"/>
    <cellStyle name="SAPBEXHLevel0 2 4 3 3 2 3" xfId="46979" xr:uid="{00000000-0005-0000-0000-000028B80000}"/>
    <cellStyle name="SAPBEXHLevel0 2 4 3 3 3" xfId="46980" xr:uid="{00000000-0005-0000-0000-000029B80000}"/>
    <cellStyle name="SAPBEXHLevel0 2 4 3 3 3 2" xfId="46981" xr:uid="{00000000-0005-0000-0000-00002AB80000}"/>
    <cellStyle name="SAPBEXHLevel0 2 4 3 3 4" xfId="46982" xr:uid="{00000000-0005-0000-0000-00002BB80000}"/>
    <cellStyle name="SAPBEXHLevel0 2 4 3 4" xfId="46983" xr:uid="{00000000-0005-0000-0000-00002CB80000}"/>
    <cellStyle name="SAPBEXHLevel0 2 4 3 4 2" xfId="46984" xr:uid="{00000000-0005-0000-0000-00002DB80000}"/>
    <cellStyle name="SAPBEXHLevel0 2 4 3 4 2 2" xfId="46985" xr:uid="{00000000-0005-0000-0000-00002EB80000}"/>
    <cellStyle name="SAPBEXHLevel0 2 4 3 4 3" xfId="46986" xr:uid="{00000000-0005-0000-0000-00002FB80000}"/>
    <cellStyle name="SAPBEXHLevel0 2 4 3 5" xfId="46987" xr:uid="{00000000-0005-0000-0000-000030B80000}"/>
    <cellStyle name="SAPBEXHLevel0 2 4 3 5 2" xfId="46988" xr:uid="{00000000-0005-0000-0000-000031B80000}"/>
    <cellStyle name="SAPBEXHLevel0 2 4 3 6" xfId="46989" xr:uid="{00000000-0005-0000-0000-000032B80000}"/>
    <cellStyle name="SAPBEXHLevel0 2 4 4" xfId="46990" xr:uid="{00000000-0005-0000-0000-000033B80000}"/>
    <cellStyle name="SAPBEXHLevel0 2 4 4 2" xfId="46991" xr:uid="{00000000-0005-0000-0000-000034B80000}"/>
    <cellStyle name="SAPBEXHLevel0 2 4 4 2 2" xfId="46992" xr:uid="{00000000-0005-0000-0000-000035B80000}"/>
    <cellStyle name="SAPBEXHLevel0 2 4 4 3" xfId="46993" xr:uid="{00000000-0005-0000-0000-000036B80000}"/>
    <cellStyle name="SAPBEXHLevel0 2 4 5" xfId="46994" xr:uid="{00000000-0005-0000-0000-000037B80000}"/>
    <cellStyle name="SAPBEXHLevel0 2 4 5 2" xfId="46995" xr:uid="{00000000-0005-0000-0000-000038B80000}"/>
    <cellStyle name="SAPBEXHLevel0 2 4 5 2 2" xfId="46996" xr:uid="{00000000-0005-0000-0000-000039B80000}"/>
    <cellStyle name="SAPBEXHLevel0 2 4 5 2 2 2" xfId="46997" xr:uid="{00000000-0005-0000-0000-00003AB80000}"/>
    <cellStyle name="SAPBEXHLevel0 2 4 5 2 3" xfId="46998" xr:uid="{00000000-0005-0000-0000-00003BB80000}"/>
    <cellStyle name="SAPBEXHLevel0 2 4 5 3" xfId="46999" xr:uid="{00000000-0005-0000-0000-00003CB80000}"/>
    <cellStyle name="SAPBEXHLevel0 2 4 5 3 2" xfId="47000" xr:uid="{00000000-0005-0000-0000-00003DB80000}"/>
    <cellStyle name="SAPBEXHLevel0 2 4 5 4" xfId="47001" xr:uid="{00000000-0005-0000-0000-00003EB80000}"/>
    <cellStyle name="SAPBEXHLevel0 2 4 6" xfId="47002" xr:uid="{00000000-0005-0000-0000-00003FB80000}"/>
    <cellStyle name="SAPBEXHLevel0 2 4 6 2" xfId="47003" xr:uid="{00000000-0005-0000-0000-000040B80000}"/>
    <cellStyle name="SAPBEXHLevel0 2 4 6 2 2" xfId="47004" xr:uid="{00000000-0005-0000-0000-000041B80000}"/>
    <cellStyle name="SAPBEXHLevel0 2 4 6 3" xfId="47005" xr:uid="{00000000-0005-0000-0000-000042B80000}"/>
    <cellStyle name="SAPBEXHLevel0 2 4 7" xfId="47006" xr:uid="{00000000-0005-0000-0000-000043B80000}"/>
    <cellStyle name="SAPBEXHLevel0 2 4 7 2" xfId="47007" xr:uid="{00000000-0005-0000-0000-000044B80000}"/>
    <cellStyle name="SAPBEXHLevel0 2 4 8" xfId="47008" xr:uid="{00000000-0005-0000-0000-000045B80000}"/>
    <cellStyle name="SAPBEXHLevel0 2 5" xfId="47009" xr:uid="{00000000-0005-0000-0000-000046B80000}"/>
    <cellStyle name="SAPBEXHLevel0 2 5 2" xfId="47010" xr:uid="{00000000-0005-0000-0000-000047B80000}"/>
    <cellStyle name="SAPBEXHLevel0 2 5 2 2" xfId="47011" xr:uid="{00000000-0005-0000-0000-000048B80000}"/>
    <cellStyle name="SAPBEXHLevel0 2 5 2 2 2" xfId="47012" xr:uid="{00000000-0005-0000-0000-000049B80000}"/>
    <cellStyle name="SAPBEXHLevel0 2 5 2 3" xfId="47013" xr:uid="{00000000-0005-0000-0000-00004AB80000}"/>
    <cellStyle name="SAPBEXHLevel0 2 5 3" xfId="47014" xr:uid="{00000000-0005-0000-0000-00004BB80000}"/>
    <cellStyle name="SAPBEXHLevel0 2 5 3 2" xfId="47015" xr:uid="{00000000-0005-0000-0000-00004CB80000}"/>
    <cellStyle name="SAPBEXHLevel0 2 5 4" xfId="47016" xr:uid="{00000000-0005-0000-0000-00004DB80000}"/>
    <cellStyle name="SAPBEXHLevel0 2 6" xfId="47017" xr:uid="{00000000-0005-0000-0000-00004EB80000}"/>
    <cellStyle name="SAPBEXHLevel0 2 6 2" xfId="47018" xr:uid="{00000000-0005-0000-0000-00004FB80000}"/>
    <cellStyle name="SAPBEXHLevel0 2 6 2 2" xfId="47019" xr:uid="{00000000-0005-0000-0000-000050B80000}"/>
    <cellStyle name="SAPBEXHLevel0 2 6 3" xfId="47020" xr:uid="{00000000-0005-0000-0000-000051B80000}"/>
    <cellStyle name="SAPBEXHLevel0 2 7" xfId="47021" xr:uid="{00000000-0005-0000-0000-000052B80000}"/>
    <cellStyle name="SAPBEXHLevel0 2 7 2" xfId="47022" xr:uid="{00000000-0005-0000-0000-000053B80000}"/>
    <cellStyle name="SAPBEXHLevel0 2 7 2 2" xfId="47023" xr:uid="{00000000-0005-0000-0000-000054B80000}"/>
    <cellStyle name="SAPBEXHLevel0 2 7 3" xfId="47024" xr:uid="{00000000-0005-0000-0000-000055B80000}"/>
    <cellStyle name="SAPBEXHLevel0 2 8" xfId="47025" xr:uid="{00000000-0005-0000-0000-000056B80000}"/>
    <cellStyle name="SAPBEXHLevel0 2 8 2" xfId="47026" xr:uid="{00000000-0005-0000-0000-000057B80000}"/>
    <cellStyle name="SAPBEXHLevel0 2 8 2 2" xfId="47027" xr:uid="{00000000-0005-0000-0000-000058B80000}"/>
    <cellStyle name="SAPBEXHLevel0 2 8 2 2 2" xfId="47028" xr:uid="{00000000-0005-0000-0000-000059B80000}"/>
    <cellStyle name="SAPBEXHLevel0 2 8 2 2 2 2" xfId="47029" xr:uid="{00000000-0005-0000-0000-00005AB80000}"/>
    <cellStyle name="SAPBEXHLevel0 2 8 2 2 3" xfId="47030" xr:uid="{00000000-0005-0000-0000-00005BB80000}"/>
    <cellStyle name="SAPBEXHLevel0 2 8 2 3" xfId="47031" xr:uid="{00000000-0005-0000-0000-00005CB80000}"/>
    <cellStyle name="SAPBEXHLevel0 2 8 2 3 2" xfId="47032" xr:uid="{00000000-0005-0000-0000-00005DB80000}"/>
    <cellStyle name="SAPBEXHLevel0 2 8 2 4" xfId="47033" xr:uid="{00000000-0005-0000-0000-00005EB80000}"/>
    <cellStyle name="SAPBEXHLevel0 2 8 3" xfId="47034" xr:uid="{00000000-0005-0000-0000-00005FB80000}"/>
    <cellStyle name="SAPBEXHLevel0 2 8 3 2" xfId="47035" xr:uid="{00000000-0005-0000-0000-000060B80000}"/>
    <cellStyle name="SAPBEXHLevel0 2 8 3 2 2" xfId="47036" xr:uid="{00000000-0005-0000-0000-000061B80000}"/>
    <cellStyle name="SAPBEXHLevel0 2 8 3 3" xfId="47037" xr:uid="{00000000-0005-0000-0000-000062B80000}"/>
    <cellStyle name="SAPBEXHLevel0 2 8 4" xfId="47038" xr:uid="{00000000-0005-0000-0000-000063B80000}"/>
    <cellStyle name="SAPBEXHLevel0 2 8 4 2" xfId="47039" xr:uid="{00000000-0005-0000-0000-000064B80000}"/>
    <cellStyle name="SAPBEXHLevel0 2 8 5" xfId="47040" xr:uid="{00000000-0005-0000-0000-000065B80000}"/>
    <cellStyle name="SAPBEXHLevel0 2 9" xfId="47041" xr:uid="{00000000-0005-0000-0000-000066B80000}"/>
    <cellStyle name="SAPBEXHLevel0 2 9 2" xfId="47042" xr:uid="{00000000-0005-0000-0000-000067B80000}"/>
    <cellStyle name="SAPBEXHLevel0 3" xfId="47043" xr:uid="{00000000-0005-0000-0000-000068B80000}"/>
    <cellStyle name="SAPBEXHLevel0 3 2" xfId="47044" xr:uid="{00000000-0005-0000-0000-000069B80000}"/>
    <cellStyle name="SAPBEXHLevel0 3 2 2" xfId="47045" xr:uid="{00000000-0005-0000-0000-00006AB80000}"/>
    <cellStyle name="SAPBEXHLevel0 3 2 2 2" xfId="47046" xr:uid="{00000000-0005-0000-0000-00006BB80000}"/>
    <cellStyle name="SAPBEXHLevel0 3 2 2 2 2" xfId="47047" xr:uid="{00000000-0005-0000-0000-00006CB80000}"/>
    <cellStyle name="SAPBEXHLevel0 3 2 2 3" xfId="47048" xr:uid="{00000000-0005-0000-0000-00006DB80000}"/>
    <cellStyle name="SAPBEXHLevel0 3 2 3" xfId="47049" xr:uid="{00000000-0005-0000-0000-00006EB80000}"/>
    <cellStyle name="SAPBEXHLevel0 3 2 3 2" xfId="47050" xr:uid="{00000000-0005-0000-0000-00006FB80000}"/>
    <cellStyle name="SAPBEXHLevel0 3 2 3 2 2" xfId="47051" xr:uid="{00000000-0005-0000-0000-000070B80000}"/>
    <cellStyle name="SAPBEXHLevel0 3 2 3 3" xfId="47052" xr:uid="{00000000-0005-0000-0000-000071B80000}"/>
    <cellStyle name="SAPBEXHLevel0 3 2 4" xfId="47053" xr:uid="{00000000-0005-0000-0000-000072B80000}"/>
    <cellStyle name="SAPBEXHLevel0 3 2 4 2" xfId="47054" xr:uid="{00000000-0005-0000-0000-000073B80000}"/>
    <cellStyle name="SAPBEXHLevel0 3 2 4 2 2" xfId="47055" xr:uid="{00000000-0005-0000-0000-000074B80000}"/>
    <cellStyle name="SAPBEXHLevel0 3 2 4 3" xfId="47056" xr:uid="{00000000-0005-0000-0000-000075B80000}"/>
    <cellStyle name="SAPBEXHLevel0 3 2 5" xfId="47057" xr:uid="{00000000-0005-0000-0000-000076B80000}"/>
    <cellStyle name="SAPBEXHLevel0 3 2 5 2" xfId="47058" xr:uid="{00000000-0005-0000-0000-000077B80000}"/>
    <cellStyle name="SAPBEXHLevel0 3 2 6" xfId="47059" xr:uid="{00000000-0005-0000-0000-000078B80000}"/>
    <cellStyle name="SAPBEXHLevel0 3 3" xfId="47060" xr:uid="{00000000-0005-0000-0000-000079B80000}"/>
    <cellStyle name="SAPBEXHLevel0 3 3 2" xfId="47061" xr:uid="{00000000-0005-0000-0000-00007AB80000}"/>
    <cellStyle name="SAPBEXHLevel0 3 3 2 2" xfId="47062" xr:uid="{00000000-0005-0000-0000-00007BB80000}"/>
    <cellStyle name="SAPBEXHLevel0 3 3 2 2 2" xfId="47063" xr:uid="{00000000-0005-0000-0000-00007CB80000}"/>
    <cellStyle name="SAPBEXHLevel0 3 3 2 3" xfId="47064" xr:uid="{00000000-0005-0000-0000-00007DB80000}"/>
    <cellStyle name="SAPBEXHLevel0 3 3 3" xfId="47065" xr:uid="{00000000-0005-0000-0000-00007EB80000}"/>
    <cellStyle name="SAPBEXHLevel0 3 3 3 2" xfId="47066" xr:uid="{00000000-0005-0000-0000-00007FB80000}"/>
    <cellStyle name="SAPBEXHLevel0 3 3 4" xfId="47067" xr:uid="{00000000-0005-0000-0000-000080B80000}"/>
    <cellStyle name="SAPBEXHLevel0 3 4" xfId="47068" xr:uid="{00000000-0005-0000-0000-000081B80000}"/>
    <cellStyle name="SAPBEXHLevel0 3 4 2" xfId="47069" xr:uid="{00000000-0005-0000-0000-000082B80000}"/>
    <cellStyle name="SAPBEXHLevel0 3 4 2 2" xfId="47070" xr:uid="{00000000-0005-0000-0000-000083B80000}"/>
    <cellStyle name="SAPBEXHLevel0 3 4 3" xfId="47071" xr:uid="{00000000-0005-0000-0000-000084B80000}"/>
    <cellStyle name="SAPBEXHLevel0 3 5" xfId="47072" xr:uid="{00000000-0005-0000-0000-000085B80000}"/>
    <cellStyle name="SAPBEXHLevel0 3 5 2" xfId="47073" xr:uid="{00000000-0005-0000-0000-000086B80000}"/>
    <cellStyle name="SAPBEXHLevel0 3 5 2 2" xfId="47074" xr:uid="{00000000-0005-0000-0000-000087B80000}"/>
    <cellStyle name="SAPBEXHLevel0 3 5 3" xfId="47075" xr:uid="{00000000-0005-0000-0000-000088B80000}"/>
    <cellStyle name="SAPBEXHLevel0 3 6" xfId="47076" xr:uid="{00000000-0005-0000-0000-000089B80000}"/>
    <cellStyle name="SAPBEXHLevel0 3 6 2" xfId="47077" xr:uid="{00000000-0005-0000-0000-00008AB80000}"/>
    <cellStyle name="SAPBEXHLevel0 3 6 2 2" xfId="47078" xr:uid="{00000000-0005-0000-0000-00008BB80000}"/>
    <cellStyle name="SAPBEXHLevel0 3 6 2 2 2" xfId="47079" xr:uid="{00000000-0005-0000-0000-00008CB80000}"/>
    <cellStyle name="SAPBEXHLevel0 3 6 2 2 2 2" xfId="47080" xr:uid="{00000000-0005-0000-0000-00008DB80000}"/>
    <cellStyle name="SAPBEXHLevel0 3 6 2 2 3" xfId="47081" xr:uid="{00000000-0005-0000-0000-00008EB80000}"/>
    <cellStyle name="SAPBEXHLevel0 3 6 2 3" xfId="47082" xr:uid="{00000000-0005-0000-0000-00008FB80000}"/>
    <cellStyle name="SAPBEXHLevel0 3 6 2 3 2" xfId="47083" xr:uid="{00000000-0005-0000-0000-000090B80000}"/>
    <cellStyle name="SAPBEXHLevel0 3 6 2 4" xfId="47084" xr:uid="{00000000-0005-0000-0000-000091B80000}"/>
    <cellStyle name="SAPBEXHLevel0 3 6 3" xfId="47085" xr:uid="{00000000-0005-0000-0000-000092B80000}"/>
    <cellStyle name="SAPBEXHLevel0 3 6 3 2" xfId="47086" xr:uid="{00000000-0005-0000-0000-000093B80000}"/>
    <cellStyle name="SAPBEXHLevel0 3 6 3 2 2" xfId="47087" xr:uid="{00000000-0005-0000-0000-000094B80000}"/>
    <cellStyle name="SAPBEXHLevel0 3 6 3 3" xfId="47088" xr:uid="{00000000-0005-0000-0000-000095B80000}"/>
    <cellStyle name="SAPBEXHLevel0 3 6 4" xfId="47089" xr:uid="{00000000-0005-0000-0000-000096B80000}"/>
    <cellStyle name="SAPBEXHLevel0 3 6 4 2" xfId="47090" xr:uid="{00000000-0005-0000-0000-000097B80000}"/>
    <cellStyle name="SAPBEXHLevel0 3 6 5" xfId="47091" xr:uid="{00000000-0005-0000-0000-000098B80000}"/>
    <cellStyle name="SAPBEXHLevel0 3 7" xfId="47092" xr:uid="{00000000-0005-0000-0000-000099B80000}"/>
    <cellStyle name="SAPBEXHLevel0 3 7 2" xfId="47093" xr:uid="{00000000-0005-0000-0000-00009AB80000}"/>
    <cellStyle name="SAPBEXHLevel0 3 8" xfId="47094" xr:uid="{00000000-0005-0000-0000-00009BB80000}"/>
    <cellStyle name="SAPBEXHLevel0 4" xfId="47095" xr:uid="{00000000-0005-0000-0000-00009CB80000}"/>
    <cellStyle name="SAPBEXHLevel0 4 2" xfId="47096" xr:uid="{00000000-0005-0000-0000-00009DB80000}"/>
    <cellStyle name="SAPBEXHLevel0 4 2 2" xfId="47097" xr:uid="{00000000-0005-0000-0000-00009EB80000}"/>
    <cellStyle name="SAPBEXHLevel0 4 2 2 2" xfId="47098" xr:uid="{00000000-0005-0000-0000-00009FB80000}"/>
    <cellStyle name="SAPBEXHLevel0 4 2 2 2 2" xfId="47099" xr:uid="{00000000-0005-0000-0000-0000A0B80000}"/>
    <cellStyle name="SAPBEXHLevel0 4 2 2 3" xfId="47100" xr:uid="{00000000-0005-0000-0000-0000A1B80000}"/>
    <cellStyle name="SAPBEXHLevel0 4 2 3" xfId="47101" xr:uid="{00000000-0005-0000-0000-0000A2B80000}"/>
    <cellStyle name="SAPBEXHLevel0 4 2 3 2" xfId="47102" xr:uid="{00000000-0005-0000-0000-0000A3B80000}"/>
    <cellStyle name="SAPBEXHLevel0 4 2 3 2 2" xfId="47103" xr:uid="{00000000-0005-0000-0000-0000A4B80000}"/>
    <cellStyle name="SAPBEXHLevel0 4 2 3 3" xfId="47104" xr:uid="{00000000-0005-0000-0000-0000A5B80000}"/>
    <cellStyle name="SAPBEXHLevel0 4 2 4" xfId="47105" xr:uid="{00000000-0005-0000-0000-0000A6B80000}"/>
    <cellStyle name="SAPBEXHLevel0 4 2 4 2" xfId="47106" xr:uid="{00000000-0005-0000-0000-0000A7B80000}"/>
    <cellStyle name="SAPBEXHLevel0 4 2 4 2 2" xfId="47107" xr:uid="{00000000-0005-0000-0000-0000A8B80000}"/>
    <cellStyle name="SAPBEXHLevel0 4 2 4 3" xfId="47108" xr:uid="{00000000-0005-0000-0000-0000A9B80000}"/>
    <cellStyle name="SAPBEXHLevel0 4 2 5" xfId="47109" xr:uid="{00000000-0005-0000-0000-0000AAB80000}"/>
    <cellStyle name="SAPBEXHLevel0 4 2 5 2" xfId="47110" xr:uid="{00000000-0005-0000-0000-0000ABB80000}"/>
    <cellStyle name="SAPBEXHLevel0 4 2 6" xfId="47111" xr:uid="{00000000-0005-0000-0000-0000ACB80000}"/>
    <cellStyle name="SAPBEXHLevel0 4 3" xfId="47112" xr:uid="{00000000-0005-0000-0000-0000ADB80000}"/>
    <cellStyle name="SAPBEXHLevel0 4 3 2" xfId="47113" xr:uid="{00000000-0005-0000-0000-0000AEB80000}"/>
    <cellStyle name="SAPBEXHLevel0 4 3 2 2" xfId="47114" xr:uid="{00000000-0005-0000-0000-0000AFB80000}"/>
    <cellStyle name="SAPBEXHLevel0 4 3 2 2 2" xfId="47115" xr:uid="{00000000-0005-0000-0000-0000B0B80000}"/>
    <cellStyle name="SAPBEXHLevel0 4 3 2 2 2 2" xfId="47116" xr:uid="{00000000-0005-0000-0000-0000B1B80000}"/>
    <cellStyle name="SAPBEXHLevel0 4 3 2 2 3" xfId="47117" xr:uid="{00000000-0005-0000-0000-0000B2B80000}"/>
    <cellStyle name="SAPBEXHLevel0 4 3 2 3" xfId="47118" xr:uid="{00000000-0005-0000-0000-0000B3B80000}"/>
    <cellStyle name="SAPBEXHLevel0 4 3 2 3 2" xfId="47119" xr:uid="{00000000-0005-0000-0000-0000B4B80000}"/>
    <cellStyle name="SAPBEXHLevel0 4 3 2 3 2 2" xfId="47120" xr:uid="{00000000-0005-0000-0000-0000B5B80000}"/>
    <cellStyle name="SAPBEXHLevel0 4 3 2 3 3" xfId="47121" xr:uid="{00000000-0005-0000-0000-0000B6B80000}"/>
    <cellStyle name="SAPBEXHLevel0 4 3 2 4" xfId="47122" xr:uid="{00000000-0005-0000-0000-0000B7B80000}"/>
    <cellStyle name="SAPBEXHLevel0 4 3 2 4 2" xfId="47123" xr:uid="{00000000-0005-0000-0000-0000B8B80000}"/>
    <cellStyle name="SAPBEXHLevel0 4 3 2 5" xfId="47124" xr:uid="{00000000-0005-0000-0000-0000B9B80000}"/>
    <cellStyle name="SAPBEXHLevel0 4 3 3" xfId="47125" xr:uid="{00000000-0005-0000-0000-0000BAB80000}"/>
    <cellStyle name="SAPBEXHLevel0 4 3 3 2" xfId="47126" xr:uid="{00000000-0005-0000-0000-0000BBB80000}"/>
    <cellStyle name="SAPBEXHLevel0 4 3 3 2 2" xfId="47127" xr:uid="{00000000-0005-0000-0000-0000BCB80000}"/>
    <cellStyle name="SAPBEXHLevel0 4 3 3 2 2 2" xfId="47128" xr:uid="{00000000-0005-0000-0000-0000BDB80000}"/>
    <cellStyle name="SAPBEXHLevel0 4 3 3 2 3" xfId="47129" xr:uid="{00000000-0005-0000-0000-0000BEB80000}"/>
    <cellStyle name="SAPBEXHLevel0 4 3 3 3" xfId="47130" xr:uid="{00000000-0005-0000-0000-0000BFB80000}"/>
    <cellStyle name="SAPBEXHLevel0 4 3 3 3 2" xfId="47131" xr:uid="{00000000-0005-0000-0000-0000C0B80000}"/>
    <cellStyle name="SAPBEXHLevel0 4 3 3 4" xfId="47132" xr:uid="{00000000-0005-0000-0000-0000C1B80000}"/>
    <cellStyle name="SAPBEXHLevel0 4 3 4" xfId="47133" xr:uid="{00000000-0005-0000-0000-0000C2B80000}"/>
    <cellStyle name="SAPBEXHLevel0 4 3 4 2" xfId="47134" xr:uid="{00000000-0005-0000-0000-0000C3B80000}"/>
    <cellStyle name="SAPBEXHLevel0 4 3 4 2 2" xfId="47135" xr:uid="{00000000-0005-0000-0000-0000C4B80000}"/>
    <cellStyle name="SAPBEXHLevel0 4 3 4 3" xfId="47136" xr:uid="{00000000-0005-0000-0000-0000C5B80000}"/>
    <cellStyle name="SAPBEXHLevel0 4 3 5" xfId="47137" xr:uid="{00000000-0005-0000-0000-0000C6B80000}"/>
    <cellStyle name="SAPBEXHLevel0 4 3 5 2" xfId="47138" xr:uid="{00000000-0005-0000-0000-0000C7B80000}"/>
    <cellStyle name="SAPBEXHLevel0 4 3 5 2 2" xfId="47139" xr:uid="{00000000-0005-0000-0000-0000C8B80000}"/>
    <cellStyle name="SAPBEXHLevel0 4 3 5 3" xfId="47140" xr:uid="{00000000-0005-0000-0000-0000C9B80000}"/>
    <cellStyle name="SAPBEXHLevel0 4 3 6" xfId="47141" xr:uid="{00000000-0005-0000-0000-0000CAB80000}"/>
    <cellStyle name="SAPBEXHLevel0 4 3 6 2" xfId="47142" xr:uid="{00000000-0005-0000-0000-0000CBB80000}"/>
    <cellStyle name="SAPBEXHLevel0 4 3 7" xfId="47143" xr:uid="{00000000-0005-0000-0000-0000CCB80000}"/>
    <cellStyle name="SAPBEXHLevel0 4 4" xfId="47144" xr:uid="{00000000-0005-0000-0000-0000CDB80000}"/>
    <cellStyle name="SAPBEXHLevel0 4 4 2" xfId="47145" xr:uid="{00000000-0005-0000-0000-0000CEB80000}"/>
    <cellStyle name="SAPBEXHLevel0 4 4 2 2" xfId="47146" xr:uid="{00000000-0005-0000-0000-0000CFB80000}"/>
    <cellStyle name="SAPBEXHLevel0 4 4 2 2 2" xfId="47147" xr:uid="{00000000-0005-0000-0000-0000D0B80000}"/>
    <cellStyle name="SAPBEXHLevel0 4 4 2 3" xfId="47148" xr:uid="{00000000-0005-0000-0000-0000D1B80000}"/>
    <cellStyle name="SAPBEXHLevel0 4 4 3" xfId="47149" xr:uid="{00000000-0005-0000-0000-0000D2B80000}"/>
    <cellStyle name="SAPBEXHLevel0 4 4 3 2" xfId="47150" xr:uid="{00000000-0005-0000-0000-0000D3B80000}"/>
    <cellStyle name="SAPBEXHLevel0 4 4 4" xfId="47151" xr:uid="{00000000-0005-0000-0000-0000D4B80000}"/>
    <cellStyle name="SAPBEXHLevel0 4 5" xfId="47152" xr:uid="{00000000-0005-0000-0000-0000D5B80000}"/>
    <cellStyle name="SAPBEXHLevel0 4 5 2" xfId="47153" xr:uid="{00000000-0005-0000-0000-0000D6B80000}"/>
    <cellStyle name="SAPBEXHLevel0 4 5 2 2" xfId="47154" xr:uid="{00000000-0005-0000-0000-0000D7B80000}"/>
    <cellStyle name="SAPBEXHLevel0 4 5 3" xfId="47155" xr:uid="{00000000-0005-0000-0000-0000D8B80000}"/>
    <cellStyle name="SAPBEXHLevel0 4 6" xfId="47156" xr:uid="{00000000-0005-0000-0000-0000D9B80000}"/>
    <cellStyle name="SAPBEXHLevel0 4 6 2" xfId="47157" xr:uid="{00000000-0005-0000-0000-0000DAB80000}"/>
    <cellStyle name="SAPBEXHLevel0 4 6 2 2" xfId="47158" xr:uid="{00000000-0005-0000-0000-0000DBB80000}"/>
    <cellStyle name="SAPBEXHLevel0 4 6 3" xfId="47159" xr:uid="{00000000-0005-0000-0000-0000DCB80000}"/>
    <cellStyle name="SAPBEXHLevel0 4 7" xfId="47160" xr:uid="{00000000-0005-0000-0000-0000DDB80000}"/>
    <cellStyle name="SAPBEXHLevel0 4 7 2" xfId="47161" xr:uid="{00000000-0005-0000-0000-0000DEB80000}"/>
    <cellStyle name="SAPBEXHLevel0 4 8" xfId="47162" xr:uid="{00000000-0005-0000-0000-0000DFB80000}"/>
    <cellStyle name="SAPBEXHLevel0 5" xfId="47163" xr:uid="{00000000-0005-0000-0000-0000E0B80000}"/>
    <cellStyle name="SAPBEXHLevel0 5 2" xfId="47164" xr:uid="{00000000-0005-0000-0000-0000E1B80000}"/>
    <cellStyle name="SAPBEXHLevel0 5 2 2" xfId="47165" xr:uid="{00000000-0005-0000-0000-0000E2B80000}"/>
    <cellStyle name="SAPBEXHLevel0 5 2 2 2" xfId="47166" xr:uid="{00000000-0005-0000-0000-0000E3B80000}"/>
    <cellStyle name="SAPBEXHLevel0 5 2 3" xfId="47167" xr:uid="{00000000-0005-0000-0000-0000E4B80000}"/>
    <cellStyle name="SAPBEXHLevel0 5 3" xfId="47168" xr:uid="{00000000-0005-0000-0000-0000E5B80000}"/>
    <cellStyle name="SAPBEXHLevel0 5 3 2" xfId="47169" xr:uid="{00000000-0005-0000-0000-0000E6B80000}"/>
    <cellStyle name="SAPBEXHLevel0 5 3 2 2" xfId="47170" xr:uid="{00000000-0005-0000-0000-0000E7B80000}"/>
    <cellStyle name="SAPBEXHLevel0 5 3 3" xfId="47171" xr:uid="{00000000-0005-0000-0000-0000E8B80000}"/>
    <cellStyle name="SAPBEXHLevel0 5 4" xfId="47172" xr:uid="{00000000-0005-0000-0000-0000E9B80000}"/>
    <cellStyle name="SAPBEXHLevel0 5 4 2" xfId="47173" xr:uid="{00000000-0005-0000-0000-0000EAB80000}"/>
    <cellStyle name="SAPBEXHLevel0 5 4 2 2" xfId="47174" xr:uid="{00000000-0005-0000-0000-0000EBB80000}"/>
    <cellStyle name="SAPBEXHLevel0 5 4 3" xfId="47175" xr:uid="{00000000-0005-0000-0000-0000ECB80000}"/>
    <cellStyle name="SAPBEXHLevel0 5 5" xfId="47176" xr:uid="{00000000-0005-0000-0000-0000EDB80000}"/>
    <cellStyle name="SAPBEXHLevel0 5 5 2" xfId="47177" xr:uid="{00000000-0005-0000-0000-0000EEB80000}"/>
    <cellStyle name="SAPBEXHLevel0 5 6" xfId="47178" xr:uid="{00000000-0005-0000-0000-0000EFB80000}"/>
    <cellStyle name="SAPBEXHLevel0 6" xfId="47179" xr:uid="{00000000-0005-0000-0000-0000F0B80000}"/>
    <cellStyle name="SAPBEXHLevel0 6 2" xfId="47180" xr:uid="{00000000-0005-0000-0000-0000F1B80000}"/>
    <cellStyle name="SAPBEXHLevel0 6 2 2" xfId="47181" xr:uid="{00000000-0005-0000-0000-0000F2B80000}"/>
    <cellStyle name="SAPBEXHLevel0 6 3" xfId="47182" xr:uid="{00000000-0005-0000-0000-0000F3B80000}"/>
    <cellStyle name="SAPBEXHLevel0 6 3 2" xfId="47183" xr:uid="{00000000-0005-0000-0000-0000F4B80000}"/>
    <cellStyle name="SAPBEXHLevel0 6 3 2 2" xfId="47184" xr:uid="{00000000-0005-0000-0000-0000F5B80000}"/>
    <cellStyle name="SAPBEXHLevel0 6 3 3" xfId="47185" xr:uid="{00000000-0005-0000-0000-0000F6B80000}"/>
    <cellStyle name="SAPBEXHLevel0 6 4" xfId="47186" xr:uid="{00000000-0005-0000-0000-0000F7B80000}"/>
    <cellStyle name="SAPBEXHLevel0 6 4 2" xfId="47187" xr:uid="{00000000-0005-0000-0000-0000F8B80000}"/>
    <cellStyle name="SAPBEXHLevel0 6 4 2 2" xfId="47188" xr:uid="{00000000-0005-0000-0000-0000F9B80000}"/>
    <cellStyle name="SAPBEXHLevel0 6 4 3" xfId="47189" xr:uid="{00000000-0005-0000-0000-0000FAB80000}"/>
    <cellStyle name="SAPBEXHLevel0 6 5" xfId="47190" xr:uid="{00000000-0005-0000-0000-0000FBB80000}"/>
    <cellStyle name="SAPBEXHLevel0 7" xfId="47191" xr:uid="{00000000-0005-0000-0000-0000FCB80000}"/>
    <cellStyle name="SAPBEXHLevel0 7 2" xfId="47192" xr:uid="{00000000-0005-0000-0000-0000FDB80000}"/>
    <cellStyle name="SAPBEXHLevel0 7 2 2" xfId="47193" xr:uid="{00000000-0005-0000-0000-0000FEB80000}"/>
    <cellStyle name="SAPBEXHLevel0 7 2 2 2" xfId="47194" xr:uid="{00000000-0005-0000-0000-0000FFB80000}"/>
    <cellStyle name="SAPBEXHLevel0 7 2 3" xfId="47195" xr:uid="{00000000-0005-0000-0000-000000B90000}"/>
    <cellStyle name="SAPBEXHLevel0 7 2 3 2" xfId="47196" xr:uid="{00000000-0005-0000-0000-000001B90000}"/>
    <cellStyle name="SAPBEXHLevel0 7 2 3 2 2" xfId="47197" xr:uid="{00000000-0005-0000-0000-000002B90000}"/>
    <cellStyle name="SAPBEXHLevel0 7 2 3 3" xfId="47198" xr:uid="{00000000-0005-0000-0000-000003B90000}"/>
    <cellStyle name="SAPBEXHLevel0 7 2 4" xfId="47199" xr:uid="{00000000-0005-0000-0000-000004B90000}"/>
    <cellStyle name="SAPBEXHLevel0 7 3" xfId="47200" xr:uid="{00000000-0005-0000-0000-000005B90000}"/>
    <cellStyle name="SAPBEXHLevel0 7 3 2" xfId="47201" xr:uid="{00000000-0005-0000-0000-000006B90000}"/>
    <cellStyle name="SAPBEXHLevel0 7 3 2 2" xfId="47202" xr:uid="{00000000-0005-0000-0000-000007B90000}"/>
    <cellStyle name="SAPBEXHLevel0 7 3 3" xfId="47203" xr:uid="{00000000-0005-0000-0000-000008B90000}"/>
    <cellStyle name="SAPBEXHLevel0 7 4" xfId="47204" xr:uid="{00000000-0005-0000-0000-000009B90000}"/>
    <cellStyle name="SAPBEXHLevel0 7 4 2" xfId="47205" xr:uid="{00000000-0005-0000-0000-00000AB90000}"/>
    <cellStyle name="SAPBEXHLevel0 7 4 2 2" xfId="47206" xr:uid="{00000000-0005-0000-0000-00000BB90000}"/>
    <cellStyle name="SAPBEXHLevel0 7 4 3" xfId="47207" xr:uid="{00000000-0005-0000-0000-00000CB90000}"/>
    <cellStyle name="SAPBEXHLevel0 7 5" xfId="47208" xr:uid="{00000000-0005-0000-0000-00000DB90000}"/>
    <cellStyle name="SAPBEXHLevel0 7 5 2" xfId="47209" xr:uid="{00000000-0005-0000-0000-00000EB90000}"/>
    <cellStyle name="SAPBEXHLevel0 7 5 2 2" xfId="47210" xr:uid="{00000000-0005-0000-0000-00000FB90000}"/>
    <cellStyle name="SAPBEXHLevel0 7 5 3" xfId="47211" xr:uid="{00000000-0005-0000-0000-000010B90000}"/>
    <cellStyle name="SAPBEXHLevel0 7 6" xfId="47212" xr:uid="{00000000-0005-0000-0000-000011B90000}"/>
    <cellStyle name="SAPBEXHLevel0 8" xfId="47213" xr:uid="{00000000-0005-0000-0000-000012B90000}"/>
    <cellStyle name="SAPBEXHLevel0 8 2" xfId="47214" xr:uid="{00000000-0005-0000-0000-000013B90000}"/>
    <cellStyle name="SAPBEXHLevel0 8 2 2" xfId="47215" xr:uid="{00000000-0005-0000-0000-000014B90000}"/>
    <cellStyle name="SAPBEXHLevel0 8 3" xfId="47216" xr:uid="{00000000-0005-0000-0000-000015B90000}"/>
    <cellStyle name="SAPBEXHLevel0 9" xfId="47217" xr:uid="{00000000-0005-0000-0000-000016B90000}"/>
    <cellStyle name="SAPBEXHLevel0 9 2" xfId="47218" xr:uid="{00000000-0005-0000-0000-000017B90000}"/>
    <cellStyle name="SAPBEXHLevel0 9 2 2" xfId="47219" xr:uid="{00000000-0005-0000-0000-000018B90000}"/>
    <cellStyle name="SAPBEXHLevel0 9 3" xfId="47220" xr:uid="{00000000-0005-0000-0000-000019B90000}"/>
    <cellStyle name="SAPBEXHLevel0X" xfId="61" xr:uid="{00000000-0005-0000-0000-00001AB90000}"/>
    <cellStyle name="SAPBEXHLevel0X 10" xfId="47221" xr:uid="{00000000-0005-0000-0000-00001BB90000}"/>
    <cellStyle name="SAPBEXHLevel0X 10 2" xfId="47222" xr:uid="{00000000-0005-0000-0000-00001CB90000}"/>
    <cellStyle name="SAPBEXHLevel0X 10 2 2" xfId="47223" xr:uid="{00000000-0005-0000-0000-00001DB90000}"/>
    <cellStyle name="SAPBEXHLevel0X 10 2 2 2" xfId="47224" xr:uid="{00000000-0005-0000-0000-00001EB90000}"/>
    <cellStyle name="SAPBEXHLevel0X 10 2 3" xfId="47225" xr:uid="{00000000-0005-0000-0000-00001FB90000}"/>
    <cellStyle name="SAPBEXHLevel0X 10 3" xfId="47226" xr:uid="{00000000-0005-0000-0000-000020B90000}"/>
    <cellStyle name="SAPBEXHLevel0X 10 3 2" xfId="47227" xr:uid="{00000000-0005-0000-0000-000021B90000}"/>
    <cellStyle name="SAPBEXHLevel0X 10 4" xfId="47228" xr:uid="{00000000-0005-0000-0000-000022B90000}"/>
    <cellStyle name="SAPBEXHLevel0X 11" xfId="47229" xr:uid="{00000000-0005-0000-0000-000023B90000}"/>
    <cellStyle name="SAPBEXHLevel0X 11 2" xfId="47230" xr:uid="{00000000-0005-0000-0000-000024B90000}"/>
    <cellStyle name="SAPBEXHLevel0X 11 2 2" xfId="47231" xr:uid="{00000000-0005-0000-0000-000025B90000}"/>
    <cellStyle name="SAPBEXHLevel0X 11 3" xfId="47232" xr:uid="{00000000-0005-0000-0000-000026B90000}"/>
    <cellStyle name="SAPBEXHLevel0X 12" xfId="47233" xr:uid="{00000000-0005-0000-0000-000027B90000}"/>
    <cellStyle name="SAPBEXHLevel0X 12 2" xfId="47234" xr:uid="{00000000-0005-0000-0000-000028B90000}"/>
    <cellStyle name="SAPBEXHLevel0X 12 2 2" xfId="47235" xr:uid="{00000000-0005-0000-0000-000029B90000}"/>
    <cellStyle name="SAPBEXHLevel0X 12 3" xfId="47236" xr:uid="{00000000-0005-0000-0000-00002AB90000}"/>
    <cellStyle name="SAPBEXHLevel0X 13" xfId="47237" xr:uid="{00000000-0005-0000-0000-00002BB90000}"/>
    <cellStyle name="SAPBEXHLevel0X 13 2" xfId="47238" xr:uid="{00000000-0005-0000-0000-00002CB90000}"/>
    <cellStyle name="SAPBEXHLevel0X 13 2 2" xfId="47239" xr:uid="{00000000-0005-0000-0000-00002DB90000}"/>
    <cellStyle name="SAPBEXHLevel0X 13 3" xfId="47240" xr:uid="{00000000-0005-0000-0000-00002EB90000}"/>
    <cellStyle name="SAPBEXHLevel0X 14" xfId="47241" xr:uid="{00000000-0005-0000-0000-00002FB90000}"/>
    <cellStyle name="SAPBEXHLevel0X 14 2" xfId="47242" xr:uid="{00000000-0005-0000-0000-000030B90000}"/>
    <cellStyle name="SAPBEXHLevel0X 14 2 2" xfId="47243" xr:uid="{00000000-0005-0000-0000-000031B90000}"/>
    <cellStyle name="SAPBEXHLevel0X 14 3" xfId="47244" xr:uid="{00000000-0005-0000-0000-000032B90000}"/>
    <cellStyle name="SAPBEXHLevel0X 15" xfId="47245" xr:uid="{00000000-0005-0000-0000-000033B90000}"/>
    <cellStyle name="SAPBEXHLevel0X 15 2" xfId="47246" xr:uid="{00000000-0005-0000-0000-000034B90000}"/>
    <cellStyle name="SAPBEXHLevel0X 15 2 2" xfId="47247" xr:uid="{00000000-0005-0000-0000-000035B90000}"/>
    <cellStyle name="SAPBEXHLevel0X 15 2 2 2" xfId="47248" xr:uid="{00000000-0005-0000-0000-000036B90000}"/>
    <cellStyle name="SAPBEXHLevel0X 15 2 3" xfId="47249" xr:uid="{00000000-0005-0000-0000-000037B90000}"/>
    <cellStyle name="SAPBEXHLevel0X 15 3" xfId="47250" xr:uid="{00000000-0005-0000-0000-000038B90000}"/>
    <cellStyle name="SAPBEXHLevel0X 15 3 2" xfId="47251" xr:uid="{00000000-0005-0000-0000-000039B90000}"/>
    <cellStyle name="SAPBEXHLevel0X 15 4" xfId="47252" xr:uid="{00000000-0005-0000-0000-00003AB90000}"/>
    <cellStyle name="SAPBEXHLevel0X 16" xfId="47253" xr:uid="{00000000-0005-0000-0000-00003BB90000}"/>
    <cellStyle name="SAPBEXHLevel0X 16 2" xfId="47254" xr:uid="{00000000-0005-0000-0000-00003CB90000}"/>
    <cellStyle name="SAPBEXHLevel0X 16 3" xfId="47255" xr:uid="{00000000-0005-0000-0000-00003DB90000}"/>
    <cellStyle name="SAPBEXHLevel0X 17" xfId="47256" xr:uid="{00000000-0005-0000-0000-00003EB90000}"/>
    <cellStyle name="SAPBEXHLevel0X 17 2" xfId="47257" xr:uid="{00000000-0005-0000-0000-00003FB90000}"/>
    <cellStyle name="SAPBEXHLevel0X 17 3" xfId="47258" xr:uid="{00000000-0005-0000-0000-000040B90000}"/>
    <cellStyle name="SAPBEXHLevel0X 18" xfId="47259" xr:uid="{00000000-0005-0000-0000-000041B90000}"/>
    <cellStyle name="SAPBEXHLevel0X 18 2" xfId="47260" xr:uid="{00000000-0005-0000-0000-000042B90000}"/>
    <cellStyle name="SAPBEXHLevel0X 19" xfId="47261" xr:uid="{00000000-0005-0000-0000-000043B90000}"/>
    <cellStyle name="SAPBEXHLevel0X 2" xfId="85" xr:uid="{00000000-0005-0000-0000-000044B90000}"/>
    <cellStyle name="SAPBEXHLevel0X 2 2" xfId="47262" xr:uid="{00000000-0005-0000-0000-000045B90000}"/>
    <cellStyle name="SAPBEXHLevel0X 2 2 2" xfId="47263" xr:uid="{00000000-0005-0000-0000-000046B90000}"/>
    <cellStyle name="SAPBEXHLevel0X 2 2 2 2" xfId="47264" xr:uid="{00000000-0005-0000-0000-000047B90000}"/>
    <cellStyle name="SAPBEXHLevel0X 2 2 2 2 2" xfId="47265" xr:uid="{00000000-0005-0000-0000-000048B90000}"/>
    <cellStyle name="SAPBEXHLevel0X 2 2 2 3" xfId="47266" xr:uid="{00000000-0005-0000-0000-000049B90000}"/>
    <cellStyle name="SAPBEXHLevel0X 2 2 3" xfId="47267" xr:uid="{00000000-0005-0000-0000-00004AB90000}"/>
    <cellStyle name="SAPBEXHLevel0X 2 2 3 2" xfId="47268" xr:uid="{00000000-0005-0000-0000-00004BB90000}"/>
    <cellStyle name="SAPBEXHLevel0X 2 2 3 2 2" xfId="47269" xr:uid="{00000000-0005-0000-0000-00004CB90000}"/>
    <cellStyle name="SAPBEXHLevel0X 2 2 3 3" xfId="47270" xr:uid="{00000000-0005-0000-0000-00004DB90000}"/>
    <cellStyle name="SAPBEXHLevel0X 2 2 4" xfId="47271" xr:uid="{00000000-0005-0000-0000-00004EB90000}"/>
    <cellStyle name="SAPBEXHLevel0X 2 2 4 2" xfId="47272" xr:uid="{00000000-0005-0000-0000-00004FB90000}"/>
    <cellStyle name="SAPBEXHLevel0X 2 2 4 2 2" xfId="47273" xr:uid="{00000000-0005-0000-0000-000050B90000}"/>
    <cellStyle name="SAPBEXHLevel0X 2 2 4 3" xfId="47274" xr:uid="{00000000-0005-0000-0000-000051B90000}"/>
    <cellStyle name="SAPBEXHLevel0X 2 2 5" xfId="47275" xr:uid="{00000000-0005-0000-0000-000052B90000}"/>
    <cellStyle name="SAPBEXHLevel0X 2 2 5 2" xfId="47276" xr:uid="{00000000-0005-0000-0000-000053B90000}"/>
    <cellStyle name="SAPBEXHLevel0X 2 2 6" xfId="47277" xr:uid="{00000000-0005-0000-0000-000054B90000}"/>
    <cellStyle name="SAPBEXHLevel0X 2 3" xfId="47278" xr:uid="{00000000-0005-0000-0000-000055B90000}"/>
    <cellStyle name="SAPBEXHLevel0X 2 3 2" xfId="47279" xr:uid="{00000000-0005-0000-0000-000056B90000}"/>
    <cellStyle name="SAPBEXHLevel0X 2 3 2 2" xfId="47280" xr:uid="{00000000-0005-0000-0000-000057B90000}"/>
    <cellStyle name="SAPBEXHLevel0X 2 3 2 2 2" xfId="47281" xr:uid="{00000000-0005-0000-0000-000058B90000}"/>
    <cellStyle name="SAPBEXHLevel0X 2 3 2 2 2 2" xfId="47282" xr:uid="{00000000-0005-0000-0000-000059B90000}"/>
    <cellStyle name="SAPBEXHLevel0X 2 3 2 2 3" xfId="47283" xr:uid="{00000000-0005-0000-0000-00005AB90000}"/>
    <cellStyle name="SAPBEXHLevel0X 2 3 2 3" xfId="47284" xr:uid="{00000000-0005-0000-0000-00005BB90000}"/>
    <cellStyle name="SAPBEXHLevel0X 2 3 2 3 2" xfId="47285" xr:uid="{00000000-0005-0000-0000-00005CB90000}"/>
    <cellStyle name="SAPBEXHLevel0X 2 3 2 3 2 2" xfId="47286" xr:uid="{00000000-0005-0000-0000-00005DB90000}"/>
    <cellStyle name="SAPBEXHLevel0X 2 3 2 3 3" xfId="47287" xr:uid="{00000000-0005-0000-0000-00005EB90000}"/>
    <cellStyle name="SAPBEXHLevel0X 2 3 2 4" xfId="47288" xr:uid="{00000000-0005-0000-0000-00005FB90000}"/>
    <cellStyle name="SAPBEXHLevel0X 2 3 2 4 2" xfId="47289" xr:uid="{00000000-0005-0000-0000-000060B90000}"/>
    <cellStyle name="SAPBEXHLevel0X 2 3 2 5" xfId="47290" xr:uid="{00000000-0005-0000-0000-000061B90000}"/>
    <cellStyle name="SAPBEXHLevel0X 2 3 3" xfId="47291" xr:uid="{00000000-0005-0000-0000-000062B90000}"/>
    <cellStyle name="SAPBEXHLevel0X 2 3 3 2" xfId="47292" xr:uid="{00000000-0005-0000-0000-000063B90000}"/>
    <cellStyle name="SAPBEXHLevel0X 2 3 3 2 2" xfId="47293" xr:uid="{00000000-0005-0000-0000-000064B90000}"/>
    <cellStyle name="SAPBEXHLevel0X 2 3 3 2 2 2" xfId="47294" xr:uid="{00000000-0005-0000-0000-000065B90000}"/>
    <cellStyle name="SAPBEXHLevel0X 2 3 3 2 3" xfId="47295" xr:uid="{00000000-0005-0000-0000-000066B90000}"/>
    <cellStyle name="SAPBEXHLevel0X 2 3 3 3" xfId="47296" xr:uid="{00000000-0005-0000-0000-000067B90000}"/>
    <cellStyle name="SAPBEXHLevel0X 2 3 3 3 2" xfId="47297" xr:uid="{00000000-0005-0000-0000-000068B90000}"/>
    <cellStyle name="SAPBEXHLevel0X 2 3 3 4" xfId="47298" xr:uid="{00000000-0005-0000-0000-000069B90000}"/>
    <cellStyle name="SAPBEXHLevel0X 2 3 4" xfId="47299" xr:uid="{00000000-0005-0000-0000-00006AB90000}"/>
    <cellStyle name="SAPBEXHLevel0X 2 3 4 2" xfId="47300" xr:uid="{00000000-0005-0000-0000-00006BB90000}"/>
    <cellStyle name="SAPBEXHLevel0X 2 3 4 2 2" xfId="47301" xr:uid="{00000000-0005-0000-0000-00006CB90000}"/>
    <cellStyle name="SAPBEXHLevel0X 2 3 4 3" xfId="47302" xr:uid="{00000000-0005-0000-0000-00006DB90000}"/>
    <cellStyle name="SAPBEXHLevel0X 2 3 5" xfId="47303" xr:uid="{00000000-0005-0000-0000-00006EB90000}"/>
    <cellStyle name="SAPBEXHLevel0X 2 3 5 2" xfId="47304" xr:uid="{00000000-0005-0000-0000-00006FB90000}"/>
    <cellStyle name="SAPBEXHLevel0X 2 3 5 2 2" xfId="47305" xr:uid="{00000000-0005-0000-0000-000070B90000}"/>
    <cellStyle name="SAPBEXHLevel0X 2 3 5 3" xfId="47306" xr:uid="{00000000-0005-0000-0000-000071B90000}"/>
    <cellStyle name="SAPBEXHLevel0X 2 3 6" xfId="47307" xr:uid="{00000000-0005-0000-0000-000072B90000}"/>
    <cellStyle name="SAPBEXHLevel0X 2 3 6 2" xfId="47308" xr:uid="{00000000-0005-0000-0000-000073B90000}"/>
    <cellStyle name="SAPBEXHLevel0X 2 3 7" xfId="47309" xr:uid="{00000000-0005-0000-0000-000074B90000}"/>
    <cellStyle name="SAPBEXHLevel0X 2 4" xfId="47310" xr:uid="{00000000-0005-0000-0000-000075B90000}"/>
    <cellStyle name="SAPBEXHLevel0X 2 4 2" xfId="47311" xr:uid="{00000000-0005-0000-0000-000076B90000}"/>
    <cellStyle name="SAPBEXHLevel0X 2 4 2 2" xfId="47312" xr:uid="{00000000-0005-0000-0000-000077B90000}"/>
    <cellStyle name="SAPBEXHLevel0X 2 4 2 2 2" xfId="47313" xr:uid="{00000000-0005-0000-0000-000078B90000}"/>
    <cellStyle name="SAPBEXHLevel0X 2 4 2 3" xfId="47314" xr:uid="{00000000-0005-0000-0000-000079B90000}"/>
    <cellStyle name="SAPBEXHLevel0X 2 4 3" xfId="47315" xr:uid="{00000000-0005-0000-0000-00007AB90000}"/>
    <cellStyle name="SAPBEXHLevel0X 2 4 3 2" xfId="47316" xr:uid="{00000000-0005-0000-0000-00007BB90000}"/>
    <cellStyle name="SAPBEXHLevel0X 2 4 4" xfId="47317" xr:uid="{00000000-0005-0000-0000-00007CB90000}"/>
    <cellStyle name="SAPBEXHLevel0X 2 5" xfId="47318" xr:uid="{00000000-0005-0000-0000-00007DB90000}"/>
    <cellStyle name="SAPBEXHLevel0X 2 5 2" xfId="47319" xr:uid="{00000000-0005-0000-0000-00007EB90000}"/>
    <cellStyle name="SAPBEXHLevel0X 2 5 2 2" xfId="47320" xr:uid="{00000000-0005-0000-0000-00007FB90000}"/>
    <cellStyle name="SAPBEXHLevel0X 2 5 3" xfId="47321" xr:uid="{00000000-0005-0000-0000-000080B90000}"/>
    <cellStyle name="SAPBEXHLevel0X 2 6" xfId="47322" xr:uid="{00000000-0005-0000-0000-000081B90000}"/>
    <cellStyle name="SAPBEXHLevel0X 2 6 2" xfId="47323" xr:uid="{00000000-0005-0000-0000-000082B90000}"/>
    <cellStyle name="SAPBEXHLevel0X 2 6 2 2" xfId="47324" xr:uid="{00000000-0005-0000-0000-000083B90000}"/>
    <cellStyle name="SAPBEXHLevel0X 2 6 3" xfId="47325" xr:uid="{00000000-0005-0000-0000-000084B90000}"/>
    <cellStyle name="SAPBEXHLevel0X 2 7" xfId="47326" xr:uid="{00000000-0005-0000-0000-000085B90000}"/>
    <cellStyle name="SAPBEXHLevel0X 2 7 2" xfId="47327" xr:uid="{00000000-0005-0000-0000-000086B90000}"/>
    <cellStyle name="SAPBEXHLevel0X 2 8" xfId="47328" xr:uid="{00000000-0005-0000-0000-000087B90000}"/>
    <cellStyle name="SAPBEXHLevel0X 20" xfId="47329" xr:uid="{00000000-0005-0000-0000-000088B90000}"/>
    <cellStyle name="SAPBEXHLevel0X 21" xfId="47330" xr:uid="{00000000-0005-0000-0000-000089B90000}"/>
    <cellStyle name="SAPBEXHLevel0X 22" xfId="47331" xr:uid="{00000000-0005-0000-0000-00008AB90000}"/>
    <cellStyle name="SAPBEXHLevel0X 3" xfId="47332" xr:uid="{00000000-0005-0000-0000-00008BB90000}"/>
    <cellStyle name="SAPBEXHLevel0X 3 2" xfId="47333" xr:uid="{00000000-0005-0000-0000-00008CB90000}"/>
    <cellStyle name="SAPBEXHLevel0X 3 2 2" xfId="47334" xr:uid="{00000000-0005-0000-0000-00008DB90000}"/>
    <cellStyle name="SAPBEXHLevel0X 3 2 2 2" xfId="47335" xr:uid="{00000000-0005-0000-0000-00008EB90000}"/>
    <cellStyle name="SAPBEXHLevel0X 3 2 2 2 2" xfId="47336" xr:uid="{00000000-0005-0000-0000-00008FB90000}"/>
    <cellStyle name="SAPBEXHLevel0X 3 2 2 3" xfId="47337" xr:uid="{00000000-0005-0000-0000-000090B90000}"/>
    <cellStyle name="SAPBEXHLevel0X 3 2 3" xfId="47338" xr:uid="{00000000-0005-0000-0000-000091B90000}"/>
    <cellStyle name="SAPBEXHLevel0X 3 2 3 2" xfId="47339" xr:uid="{00000000-0005-0000-0000-000092B90000}"/>
    <cellStyle name="SAPBEXHLevel0X 3 2 3 2 2" xfId="47340" xr:uid="{00000000-0005-0000-0000-000093B90000}"/>
    <cellStyle name="SAPBEXHLevel0X 3 2 3 3" xfId="47341" xr:uid="{00000000-0005-0000-0000-000094B90000}"/>
    <cellStyle name="SAPBEXHLevel0X 3 2 4" xfId="47342" xr:uid="{00000000-0005-0000-0000-000095B90000}"/>
    <cellStyle name="SAPBEXHLevel0X 3 2 4 2" xfId="47343" xr:uid="{00000000-0005-0000-0000-000096B90000}"/>
    <cellStyle name="SAPBEXHLevel0X 3 2 4 2 2" xfId="47344" xr:uid="{00000000-0005-0000-0000-000097B90000}"/>
    <cellStyle name="SAPBEXHLevel0X 3 2 4 3" xfId="47345" xr:uid="{00000000-0005-0000-0000-000098B90000}"/>
    <cellStyle name="SAPBEXHLevel0X 3 2 5" xfId="47346" xr:uid="{00000000-0005-0000-0000-000099B90000}"/>
    <cellStyle name="SAPBEXHLevel0X 3 2 5 2" xfId="47347" xr:uid="{00000000-0005-0000-0000-00009AB90000}"/>
    <cellStyle name="SAPBEXHLevel0X 3 2 6" xfId="47348" xr:uid="{00000000-0005-0000-0000-00009BB90000}"/>
    <cellStyle name="SAPBEXHLevel0X 3 3" xfId="47349" xr:uid="{00000000-0005-0000-0000-00009CB90000}"/>
    <cellStyle name="SAPBEXHLevel0X 3 3 2" xfId="47350" xr:uid="{00000000-0005-0000-0000-00009DB90000}"/>
    <cellStyle name="SAPBEXHLevel0X 3 3 2 2" xfId="47351" xr:uid="{00000000-0005-0000-0000-00009EB90000}"/>
    <cellStyle name="SAPBEXHLevel0X 3 3 2 2 2" xfId="47352" xr:uid="{00000000-0005-0000-0000-00009FB90000}"/>
    <cellStyle name="SAPBEXHLevel0X 3 3 2 3" xfId="47353" xr:uid="{00000000-0005-0000-0000-0000A0B90000}"/>
    <cellStyle name="SAPBEXHLevel0X 3 3 3" xfId="47354" xr:uid="{00000000-0005-0000-0000-0000A1B90000}"/>
    <cellStyle name="SAPBEXHLevel0X 3 3 3 2" xfId="47355" xr:uid="{00000000-0005-0000-0000-0000A2B90000}"/>
    <cellStyle name="SAPBEXHLevel0X 3 3 4" xfId="47356" xr:uid="{00000000-0005-0000-0000-0000A3B90000}"/>
    <cellStyle name="SAPBEXHLevel0X 3 4" xfId="47357" xr:uid="{00000000-0005-0000-0000-0000A4B90000}"/>
    <cellStyle name="SAPBEXHLevel0X 3 4 2" xfId="47358" xr:uid="{00000000-0005-0000-0000-0000A5B90000}"/>
    <cellStyle name="SAPBEXHLevel0X 3 4 2 2" xfId="47359" xr:uid="{00000000-0005-0000-0000-0000A6B90000}"/>
    <cellStyle name="SAPBEXHLevel0X 3 4 3" xfId="47360" xr:uid="{00000000-0005-0000-0000-0000A7B90000}"/>
    <cellStyle name="SAPBEXHLevel0X 3 5" xfId="47361" xr:uid="{00000000-0005-0000-0000-0000A8B90000}"/>
    <cellStyle name="SAPBEXHLevel0X 3 5 2" xfId="47362" xr:uid="{00000000-0005-0000-0000-0000A9B90000}"/>
    <cellStyle name="SAPBEXHLevel0X 3 5 2 2" xfId="47363" xr:uid="{00000000-0005-0000-0000-0000AAB90000}"/>
    <cellStyle name="SAPBEXHLevel0X 3 5 3" xfId="47364" xr:uid="{00000000-0005-0000-0000-0000ABB90000}"/>
    <cellStyle name="SAPBEXHLevel0X 3 6" xfId="47365" xr:uid="{00000000-0005-0000-0000-0000ACB90000}"/>
    <cellStyle name="SAPBEXHLevel0X 3 6 2" xfId="47366" xr:uid="{00000000-0005-0000-0000-0000ADB90000}"/>
    <cellStyle name="SAPBEXHLevel0X 3 7" xfId="47367" xr:uid="{00000000-0005-0000-0000-0000AEB90000}"/>
    <cellStyle name="SAPBEXHLevel0X 4" xfId="47368" xr:uid="{00000000-0005-0000-0000-0000AFB90000}"/>
    <cellStyle name="SAPBEXHLevel0X 4 2" xfId="47369" xr:uid="{00000000-0005-0000-0000-0000B0B90000}"/>
    <cellStyle name="SAPBEXHLevel0X 4 2 2" xfId="47370" xr:uid="{00000000-0005-0000-0000-0000B1B90000}"/>
    <cellStyle name="SAPBEXHLevel0X 4 2 2 2" xfId="47371" xr:uid="{00000000-0005-0000-0000-0000B2B90000}"/>
    <cellStyle name="SAPBEXHLevel0X 4 2 2 2 2" xfId="47372" xr:uid="{00000000-0005-0000-0000-0000B3B90000}"/>
    <cellStyle name="SAPBEXHLevel0X 4 2 2 3" xfId="47373" xr:uid="{00000000-0005-0000-0000-0000B4B90000}"/>
    <cellStyle name="SAPBEXHLevel0X 4 2 3" xfId="47374" xr:uid="{00000000-0005-0000-0000-0000B5B90000}"/>
    <cellStyle name="SAPBEXHLevel0X 4 2 3 2" xfId="47375" xr:uid="{00000000-0005-0000-0000-0000B6B90000}"/>
    <cellStyle name="SAPBEXHLevel0X 4 2 3 2 2" xfId="47376" xr:uid="{00000000-0005-0000-0000-0000B7B90000}"/>
    <cellStyle name="SAPBEXHLevel0X 4 2 3 3" xfId="47377" xr:uid="{00000000-0005-0000-0000-0000B8B90000}"/>
    <cellStyle name="SAPBEXHLevel0X 4 2 4" xfId="47378" xr:uid="{00000000-0005-0000-0000-0000B9B90000}"/>
    <cellStyle name="SAPBEXHLevel0X 4 2 4 2" xfId="47379" xr:uid="{00000000-0005-0000-0000-0000BAB90000}"/>
    <cellStyle name="SAPBEXHLevel0X 4 2 4 2 2" xfId="47380" xr:uid="{00000000-0005-0000-0000-0000BBB90000}"/>
    <cellStyle name="SAPBEXHLevel0X 4 2 4 3" xfId="47381" xr:uid="{00000000-0005-0000-0000-0000BCB90000}"/>
    <cellStyle name="SAPBEXHLevel0X 4 2 5" xfId="47382" xr:uid="{00000000-0005-0000-0000-0000BDB90000}"/>
    <cellStyle name="SAPBEXHLevel0X 4 2 5 2" xfId="47383" xr:uid="{00000000-0005-0000-0000-0000BEB90000}"/>
    <cellStyle name="SAPBEXHLevel0X 4 2 6" xfId="47384" xr:uid="{00000000-0005-0000-0000-0000BFB90000}"/>
    <cellStyle name="SAPBEXHLevel0X 4 3" xfId="47385" xr:uid="{00000000-0005-0000-0000-0000C0B90000}"/>
    <cellStyle name="SAPBEXHLevel0X 4 3 2" xfId="47386" xr:uid="{00000000-0005-0000-0000-0000C1B90000}"/>
    <cellStyle name="SAPBEXHLevel0X 4 3 2 2" xfId="47387" xr:uid="{00000000-0005-0000-0000-0000C2B90000}"/>
    <cellStyle name="SAPBEXHLevel0X 4 3 2 2 2" xfId="47388" xr:uid="{00000000-0005-0000-0000-0000C3B90000}"/>
    <cellStyle name="SAPBEXHLevel0X 4 3 2 2 2 2" xfId="47389" xr:uid="{00000000-0005-0000-0000-0000C4B90000}"/>
    <cellStyle name="SAPBEXHLevel0X 4 3 2 2 3" xfId="47390" xr:uid="{00000000-0005-0000-0000-0000C5B90000}"/>
    <cellStyle name="SAPBEXHLevel0X 4 3 2 3" xfId="47391" xr:uid="{00000000-0005-0000-0000-0000C6B90000}"/>
    <cellStyle name="SAPBEXHLevel0X 4 3 2 3 2" xfId="47392" xr:uid="{00000000-0005-0000-0000-0000C7B90000}"/>
    <cellStyle name="SAPBEXHLevel0X 4 3 2 3 2 2" xfId="47393" xr:uid="{00000000-0005-0000-0000-0000C8B90000}"/>
    <cellStyle name="SAPBEXHLevel0X 4 3 2 3 3" xfId="47394" xr:uid="{00000000-0005-0000-0000-0000C9B90000}"/>
    <cellStyle name="SAPBEXHLevel0X 4 3 2 4" xfId="47395" xr:uid="{00000000-0005-0000-0000-0000CAB90000}"/>
    <cellStyle name="SAPBEXHLevel0X 4 3 2 4 2" xfId="47396" xr:uid="{00000000-0005-0000-0000-0000CBB90000}"/>
    <cellStyle name="SAPBEXHLevel0X 4 3 2 5" xfId="47397" xr:uid="{00000000-0005-0000-0000-0000CCB90000}"/>
    <cellStyle name="SAPBEXHLevel0X 4 3 3" xfId="47398" xr:uid="{00000000-0005-0000-0000-0000CDB90000}"/>
    <cellStyle name="SAPBEXHLevel0X 4 3 3 2" xfId="47399" xr:uid="{00000000-0005-0000-0000-0000CEB90000}"/>
    <cellStyle name="SAPBEXHLevel0X 4 3 3 2 2" xfId="47400" xr:uid="{00000000-0005-0000-0000-0000CFB90000}"/>
    <cellStyle name="SAPBEXHLevel0X 4 3 3 2 2 2" xfId="47401" xr:uid="{00000000-0005-0000-0000-0000D0B90000}"/>
    <cellStyle name="SAPBEXHLevel0X 4 3 3 2 3" xfId="47402" xr:uid="{00000000-0005-0000-0000-0000D1B90000}"/>
    <cellStyle name="SAPBEXHLevel0X 4 3 3 3" xfId="47403" xr:uid="{00000000-0005-0000-0000-0000D2B90000}"/>
    <cellStyle name="SAPBEXHLevel0X 4 3 3 3 2" xfId="47404" xr:uid="{00000000-0005-0000-0000-0000D3B90000}"/>
    <cellStyle name="SAPBEXHLevel0X 4 3 3 4" xfId="47405" xr:uid="{00000000-0005-0000-0000-0000D4B90000}"/>
    <cellStyle name="SAPBEXHLevel0X 4 3 4" xfId="47406" xr:uid="{00000000-0005-0000-0000-0000D5B90000}"/>
    <cellStyle name="SAPBEXHLevel0X 4 3 4 2" xfId="47407" xr:uid="{00000000-0005-0000-0000-0000D6B90000}"/>
    <cellStyle name="SAPBEXHLevel0X 4 3 4 2 2" xfId="47408" xr:uid="{00000000-0005-0000-0000-0000D7B90000}"/>
    <cellStyle name="SAPBEXHLevel0X 4 3 4 3" xfId="47409" xr:uid="{00000000-0005-0000-0000-0000D8B90000}"/>
    <cellStyle name="SAPBEXHLevel0X 4 3 5" xfId="47410" xr:uid="{00000000-0005-0000-0000-0000D9B90000}"/>
    <cellStyle name="SAPBEXHLevel0X 4 3 5 2" xfId="47411" xr:uid="{00000000-0005-0000-0000-0000DAB90000}"/>
    <cellStyle name="SAPBEXHLevel0X 4 3 5 2 2" xfId="47412" xr:uid="{00000000-0005-0000-0000-0000DBB90000}"/>
    <cellStyle name="SAPBEXHLevel0X 4 3 5 3" xfId="47413" xr:uid="{00000000-0005-0000-0000-0000DCB90000}"/>
    <cellStyle name="SAPBEXHLevel0X 4 3 6" xfId="47414" xr:uid="{00000000-0005-0000-0000-0000DDB90000}"/>
    <cellStyle name="SAPBEXHLevel0X 4 3 6 2" xfId="47415" xr:uid="{00000000-0005-0000-0000-0000DEB90000}"/>
    <cellStyle name="SAPBEXHLevel0X 4 3 7" xfId="47416" xr:uid="{00000000-0005-0000-0000-0000DFB90000}"/>
    <cellStyle name="SAPBEXHLevel0X 4 4" xfId="47417" xr:uid="{00000000-0005-0000-0000-0000E0B90000}"/>
    <cellStyle name="SAPBEXHLevel0X 4 4 2" xfId="47418" xr:uid="{00000000-0005-0000-0000-0000E1B90000}"/>
    <cellStyle name="SAPBEXHLevel0X 4 4 2 2" xfId="47419" xr:uid="{00000000-0005-0000-0000-0000E2B90000}"/>
    <cellStyle name="SAPBEXHLevel0X 4 4 2 2 2" xfId="47420" xr:uid="{00000000-0005-0000-0000-0000E3B90000}"/>
    <cellStyle name="SAPBEXHLevel0X 4 4 2 3" xfId="47421" xr:uid="{00000000-0005-0000-0000-0000E4B90000}"/>
    <cellStyle name="SAPBEXHLevel0X 4 4 3" xfId="47422" xr:uid="{00000000-0005-0000-0000-0000E5B90000}"/>
    <cellStyle name="SAPBEXHLevel0X 4 4 3 2" xfId="47423" xr:uid="{00000000-0005-0000-0000-0000E6B90000}"/>
    <cellStyle name="SAPBEXHLevel0X 4 4 4" xfId="47424" xr:uid="{00000000-0005-0000-0000-0000E7B90000}"/>
    <cellStyle name="SAPBEXHLevel0X 4 5" xfId="47425" xr:uid="{00000000-0005-0000-0000-0000E8B90000}"/>
    <cellStyle name="SAPBEXHLevel0X 4 5 2" xfId="47426" xr:uid="{00000000-0005-0000-0000-0000E9B90000}"/>
    <cellStyle name="SAPBEXHLevel0X 4 5 2 2" xfId="47427" xr:uid="{00000000-0005-0000-0000-0000EAB90000}"/>
    <cellStyle name="SAPBEXHLevel0X 4 5 3" xfId="47428" xr:uid="{00000000-0005-0000-0000-0000EBB90000}"/>
    <cellStyle name="SAPBEXHLevel0X 4 6" xfId="47429" xr:uid="{00000000-0005-0000-0000-0000ECB90000}"/>
    <cellStyle name="SAPBEXHLevel0X 4 6 2" xfId="47430" xr:uid="{00000000-0005-0000-0000-0000EDB90000}"/>
    <cellStyle name="SAPBEXHLevel0X 4 6 2 2" xfId="47431" xr:uid="{00000000-0005-0000-0000-0000EEB90000}"/>
    <cellStyle name="SAPBEXHLevel0X 4 6 3" xfId="47432" xr:uid="{00000000-0005-0000-0000-0000EFB90000}"/>
    <cellStyle name="SAPBEXHLevel0X 4 7" xfId="47433" xr:uid="{00000000-0005-0000-0000-0000F0B90000}"/>
    <cellStyle name="SAPBEXHLevel0X 4 7 2" xfId="47434" xr:uid="{00000000-0005-0000-0000-0000F1B90000}"/>
    <cellStyle name="SAPBEXHLevel0X 4 8" xfId="47435" xr:uid="{00000000-0005-0000-0000-0000F2B90000}"/>
    <cellStyle name="SAPBEXHLevel0X 5" xfId="47436" xr:uid="{00000000-0005-0000-0000-0000F3B90000}"/>
    <cellStyle name="SAPBEXHLevel0X 5 2" xfId="47437" xr:uid="{00000000-0005-0000-0000-0000F4B90000}"/>
    <cellStyle name="SAPBEXHLevel0X 5 2 2" xfId="47438" xr:uid="{00000000-0005-0000-0000-0000F5B90000}"/>
    <cellStyle name="SAPBEXHLevel0X 5 2 2 2" xfId="47439" xr:uid="{00000000-0005-0000-0000-0000F6B90000}"/>
    <cellStyle name="SAPBEXHLevel0X 5 2 3" xfId="47440" xr:uid="{00000000-0005-0000-0000-0000F7B90000}"/>
    <cellStyle name="SAPBEXHLevel0X 5 3" xfId="47441" xr:uid="{00000000-0005-0000-0000-0000F8B90000}"/>
    <cellStyle name="SAPBEXHLevel0X 5 3 2" xfId="47442" xr:uid="{00000000-0005-0000-0000-0000F9B90000}"/>
    <cellStyle name="SAPBEXHLevel0X 5 3 2 2" xfId="47443" xr:uid="{00000000-0005-0000-0000-0000FAB90000}"/>
    <cellStyle name="SAPBEXHLevel0X 5 3 3" xfId="47444" xr:uid="{00000000-0005-0000-0000-0000FBB90000}"/>
    <cellStyle name="SAPBEXHLevel0X 5 4" xfId="47445" xr:uid="{00000000-0005-0000-0000-0000FCB90000}"/>
    <cellStyle name="SAPBEXHLevel0X 5 4 2" xfId="47446" xr:uid="{00000000-0005-0000-0000-0000FDB90000}"/>
    <cellStyle name="SAPBEXHLevel0X 5 4 2 2" xfId="47447" xr:uid="{00000000-0005-0000-0000-0000FEB90000}"/>
    <cellStyle name="SAPBEXHLevel0X 5 4 3" xfId="47448" xr:uid="{00000000-0005-0000-0000-0000FFB90000}"/>
    <cellStyle name="SAPBEXHLevel0X 5 5" xfId="47449" xr:uid="{00000000-0005-0000-0000-000000BA0000}"/>
    <cellStyle name="SAPBEXHLevel0X 5 5 2" xfId="47450" xr:uid="{00000000-0005-0000-0000-000001BA0000}"/>
    <cellStyle name="SAPBEXHLevel0X 5 6" xfId="47451" xr:uid="{00000000-0005-0000-0000-000002BA0000}"/>
    <cellStyle name="SAPBEXHLevel0X 6" xfId="47452" xr:uid="{00000000-0005-0000-0000-000003BA0000}"/>
    <cellStyle name="SAPBEXHLevel0X 6 2" xfId="47453" xr:uid="{00000000-0005-0000-0000-000004BA0000}"/>
    <cellStyle name="SAPBEXHLevel0X 6 2 2" xfId="47454" xr:uid="{00000000-0005-0000-0000-000005BA0000}"/>
    <cellStyle name="SAPBEXHLevel0X 6 2 2 2" xfId="47455" xr:uid="{00000000-0005-0000-0000-000006BA0000}"/>
    <cellStyle name="SAPBEXHLevel0X 6 2 3" xfId="47456" xr:uid="{00000000-0005-0000-0000-000007BA0000}"/>
    <cellStyle name="SAPBEXHLevel0X 6 3" xfId="47457" xr:uid="{00000000-0005-0000-0000-000008BA0000}"/>
    <cellStyle name="SAPBEXHLevel0X 6 3 2" xfId="47458" xr:uid="{00000000-0005-0000-0000-000009BA0000}"/>
    <cellStyle name="SAPBEXHLevel0X 6 3 2 2" xfId="47459" xr:uid="{00000000-0005-0000-0000-00000ABA0000}"/>
    <cellStyle name="SAPBEXHLevel0X 6 3 3" xfId="47460" xr:uid="{00000000-0005-0000-0000-00000BBA0000}"/>
    <cellStyle name="SAPBEXHLevel0X 6 4" xfId="47461" xr:uid="{00000000-0005-0000-0000-00000CBA0000}"/>
    <cellStyle name="SAPBEXHLevel0X 6 4 2" xfId="47462" xr:uid="{00000000-0005-0000-0000-00000DBA0000}"/>
    <cellStyle name="SAPBEXHLevel0X 6 4 2 2" xfId="47463" xr:uid="{00000000-0005-0000-0000-00000EBA0000}"/>
    <cellStyle name="SAPBEXHLevel0X 6 4 3" xfId="47464" xr:uid="{00000000-0005-0000-0000-00000FBA0000}"/>
    <cellStyle name="SAPBEXHLevel0X 6 5" xfId="47465" xr:uid="{00000000-0005-0000-0000-000010BA0000}"/>
    <cellStyle name="SAPBEXHLevel0X 6 5 2" xfId="47466" xr:uid="{00000000-0005-0000-0000-000011BA0000}"/>
    <cellStyle name="SAPBEXHLevel0X 6 6" xfId="47467" xr:uid="{00000000-0005-0000-0000-000012BA0000}"/>
    <cellStyle name="SAPBEXHLevel0X 7" xfId="47468" xr:uid="{00000000-0005-0000-0000-000013BA0000}"/>
    <cellStyle name="SAPBEXHLevel0X 7 2" xfId="47469" xr:uid="{00000000-0005-0000-0000-000014BA0000}"/>
    <cellStyle name="SAPBEXHLevel0X 7 2 2" xfId="47470" xr:uid="{00000000-0005-0000-0000-000015BA0000}"/>
    <cellStyle name="SAPBEXHLevel0X 7 2 2 2" xfId="47471" xr:uid="{00000000-0005-0000-0000-000016BA0000}"/>
    <cellStyle name="SAPBEXHLevel0X 7 2 2 2 2" xfId="47472" xr:uid="{00000000-0005-0000-0000-000017BA0000}"/>
    <cellStyle name="SAPBEXHLevel0X 7 2 2 3" xfId="47473" xr:uid="{00000000-0005-0000-0000-000018BA0000}"/>
    <cellStyle name="SAPBEXHLevel0X 7 2 3" xfId="47474" xr:uid="{00000000-0005-0000-0000-000019BA0000}"/>
    <cellStyle name="SAPBEXHLevel0X 7 2 3 2" xfId="47475" xr:uid="{00000000-0005-0000-0000-00001ABA0000}"/>
    <cellStyle name="SAPBEXHLevel0X 7 2 3 2 2" xfId="47476" xr:uid="{00000000-0005-0000-0000-00001BBA0000}"/>
    <cellStyle name="SAPBEXHLevel0X 7 2 3 3" xfId="47477" xr:uid="{00000000-0005-0000-0000-00001CBA0000}"/>
    <cellStyle name="SAPBEXHLevel0X 7 2 4" xfId="47478" xr:uid="{00000000-0005-0000-0000-00001DBA0000}"/>
    <cellStyle name="SAPBEXHLevel0X 7 2 4 2" xfId="47479" xr:uid="{00000000-0005-0000-0000-00001EBA0000}"/>
    <cellStyle name="SAPBEXHLevel0X 7 2 5" xfId="47480" xr:uid="{00000000-0005-0000-0000-00001FBA0000}"/>
    <cellStyle name="SAPBEXHLevel0X 7 3" xfId="47481" xr:uid="{00000000-0005-0000-0000-000020BA0000}"/>
    <cellStyle name="SAPBEXHLevel0X 7 3 2" xfId="47482" xr:uid="{00000000-0005-0000-0000-000021BA0000}"/>
    <cellStyle name="SAPBEXHLevel0X 7 3 2 2" xfId="47483" xr:uid="{00000000-0005-0000-0000-000022BA0000}"/>
    <cellStyle name="SAPBEXHLevel0X 7 3 2 2 2" xfId="47484" xr:uid="{00000000-0005-0000-0000-000023BA0000}"/>
    <cellStyle name="SAPBEXHLevel0X 7 3 2 3" xfId="47485" xr:uid="{00000000-0005-0000-0000-000024BA0000}"/>
    <cellStyle name="SAPBEXHLevel0X 7 3 3" xfId="47486" xr:uid="{00000000-0005-0000-0000-000025BA0000}"/>
    <cellStyle name="SAPBEXHLevel0X 7 3 3 2" xfId="47487" xr:uid="{00000000-0005-0000-0000-000026BA0000}"/>
    <cellStyle name="SAPBEXHLevel0X 7 3 4" xfId="47488" xr:uid="{00000000-0005-0000-0000-000027BA0000}"/>
    <cellStyle name="SAPBEXHLevel0X 7 4" xfId="47489" xr:uid="{00000000-0005-0000-0000-000028BA0000}"/>
    <cellStyle name="SAPBEXHLevel0X 7 4 2" xfId="47490" xr:uid="{00000000-0005-0000-0000-000029BA0000}"/>
    <cellStyle name="SAPBEXHLevel0X 7 4 2 2" xfId="47491" xr:uid="{00000000-0005-0000-0000-00002ABA0000}"/>
    <cellStyle name="SAPBEXHLevel0X 7 4 3" xfId="47492" xr:uid="{00000000-0005-0000-0000-00002BBA0000}"/>
    <cellStyle name="SAPBEXHLevel0X 7 5" xfId="47493" xr:uid="{00000000-0005-0000-0000-00002CBA0000}"/>
    <cellStyle name="SAPBEXHLevel0X 7 5 2" xfId="47494" xr:uid="{00000000-0005-0000-0000-00002DBA0000}"/>
    <cellStyle name="SAPBEXHLevel0X 7 5 2 2" xfId="47495" xr:uid="{00000000-0005-0000-0000-00002EBA0000}"/>
    <cellStyle name="SAPBEXHLevel0X 7 5 3" xfId="47496" xr:uid="{00000000-0005-0000-0000-00002FBA0000}"/>
    <cellStyle name="SAPBEXHLevel0X 7 6" xfId="47497" xr:uid="{00000000-0005-0000-0000-000030BA0000}"/>
    <cellStyle name="SAPBEXHLevel0X 7 6 2" xfId="47498" xr:uid="{00000000-0005-0000-0000-000031BA0000}"/>
    <cellStyle name="SAPBEXHLevel0X 7 7" xfId="47499" xr:uid="{00000000-0005-0000-0000-000032BA0000}"/>
    <cellStyle name="SAPBEXHLevel0X 8" xfId="47500" xr:uid="{00000000-0005-0000-0000-000033BA0000}"/>
    <cellStyle name="SAPBEXHLevel0X 8 2" xfId="47501" xr:uid="{00000000-0005-0000-0000-000034BA0000}"/>
    <cellStyle name="SAPBEXHLevel0X 8 2 2" xfId="47502" xr:uid="{00000000-0005-0000-0000-000035BA0000}"/>
    <cellStyle name="SAPBEXHLevel0X 8 2 2 2" xfId="47503" xr:uid="{00000000-0005-0000-0000-000036BA0000}"/>
    <cellStyle name="SAPBEXHLevel0X 8 2 3" xfId="47504" xr:uid="{00000000-0005-0000-0000-000037BA0000}"/>
    <cellStyle name="SAPBEXHLevel0X 8 3" xfId="47505" xr:uid="{00000000-0005-0000-0000-000038BA0000}"/>
    <cellStyle name="SAPBEXHLevel0X 8 3 2" xfId="47506" xr:uid="{00000000-0005-0000-0000-000039BA0000}"/>
    <cellStyle name="SAPBEXHLevel0X 8 3 2 2" xfId="47507" xr:uid="{00000000-0005-0000-0000-00003ABA0000}"/>
    <cellStyle name="SAPBEXHLevel0X 8 3 3" xfId="47508" xr:uid="{00000000-0005-0000-0000-00003BBA0000}"/>
    <cellStyle name="SAPBEXHLevel0X 8 4" xfId="47509" xr:uid="{00000000-0005-0000-0000-00003CBA0000}"/>
    <cellStyle name="SAPBEXHLevel0X 8 4 2" xfId="47510" xr:uid="{00000000-0005-0000-0000-00003DBA0000}"/>
    <cellStyle name="SAPBEXHLevel0X 8 5" xfId="47511" xr:uid="{00000000-0005-0000-0000-00003EBA0000}"/>
    <cellStyle name="SAPBEXHLevel0X 9" xfId="47512" xr:uid="{00000000-0005-0000-0000-00003FBA0000}"/>
    <cellStyle name="SAPBEXHLevel0X 9 2" xfId="47513" xr:uid="{00000000-0005-0000-0000-000040BA0000}"/>
    <cellStyle name="SAPBEXHLevel0X 9 2 2" xfId="47514" xr:uid="{00000000-0005-0000-0000-000041BA0000}"/>
    <cellStyle name="SAPBEXHLevel0X 9 2 2 2" xfId="47515" xr:uid="{00000000-0005-0000-0000-000042BA0000}"/>
    <cellStyle name="SAPBEXHLevel0X 9 2 2 2 2" xfId="47516" xr:uid="{00000000-0005-0000-0000-000043BA0000}"/>
    <cellStyle name="SAPBEXHLevel0X 9 2 2 3" xfId="47517" xr:uid="{00000000-0005-0000-0000-000044BA0000}"/>
    <cellStyle name="SAPBEXHLevel0X 9 2 3" xfId="47518" xr:uid="{00000000-0005-0000-0000-000045BA0000}"/>
    <cellStyle name="SAPBEXHLevel0X 9 2 3 2" xfId="47519" xr:uid="{00000000-0005-0000-0000-000046BA0000}"/>
    <cellStyle name="SAPBEXHLevel0X 9 2 4" xfId="47520" xr:uid="{00000000-0005-0000-0000-000047BA0000}"/>
    <cellStyle name="SAPBEXHLevel0X 9 3" xfId="47521" xr:uid="{00000000-0005-0000-0000-000048BA0000}"/>
    <cellStyle name="SAPBEXHLevel0X 9 3 2" xfId="47522" xr:uid="{00000000-0005-0000-0000-000049BA0000}"/>
    <cellStyle name="SAPBEXHLevel0X 9 3 2 2" xfId="47523" xr:uid="{00000000-0005-0000-0000-00004ABA0000}"/>
    <cellStyle name="SAPBEXHLevel0X 9 3 2 2 2" xfId="47524" xr:uid="{00000000-0005-0000-0000-00004BBA0000}"/>
    <cellStyle name="SAPBEXHLevel0X 9 3 2 2 2 2" xfId="47525" xr:uid="{00000000-0005-0000-0000-00004CBA0000}"/>
    <cellStyle name="SAPBEXHLevel0X 9 3 2 2 3" xfId="47526" xr:uid="{00000000-0005-0000-0000-00004DBA0000}"/>
    <cellStyle name="SAPBEXHLevel0X 9 3 2 3" xfId="47527" xr:uid="{00000000-0005-0000-0000-00004EBA0000}"/>
    <cellStyle name="SAPBEXHLevel0X 9 3 2 3 2" xfId="47528" xr:uid="{00000000-0005-0000-0000-00004FBA0000}"/>
    <cellStyle name="SAPBEXHLevel0X 9 3 2 4" xfId="47529" xr:uid="{00000000-0005-0000-0000-000050BA0000}"/>
    <cellStyle name="SAPBEXHLevel0X 9 3 3" xfId="47530" xr:uid="{00000000-0005-0000-0000-000051BA0000}"/>
    <cellStyle name="SAPBEXHLevel0X 9 3 3 2" xfId="47531" xr:uid="{00000000-0005-0000-0000-000052BA0000}"/>
    <cellStyle name="SAPBEXHLevel0X 9 3 3 2 2" xfId="47532" xr:uid="{00000000-0005-0000-0000-000053BA0000}"/>
    <cellStyle name="SAPBEXHLevel0X 9 3 3 3" xfId="47533" xr:uid="{00000000-0005-0000-0000-000054BA0000}"/>
    <cellStyle name="SAPBEXHLevel0X 9 3 4" xfId="47534" xr:uid="{00000000-0005-0000-0000-000055BA0000}"/>
    <cellStyle name="SAPBEXHLevel0X 9 3 4 2" xfId="47535" xr:uid="{00000000-0005-0000-0000-000056BA0000}"/>
    <cellStyle name="SAPBEXHLevel0X 9 3 5" xfId="47536" xr:uid="{00000000-0005-0000-0000-000057BA0000}"/>
    <cellStyle name="SAPBEXHLevel0X 9 4" xfId="47537" xr:uid="{00000000-0005-0000-0000-000058BA0000}"/>
    <cellStyle name="SAPBEXHLevel0X 9 4 2" xfId="47538" xr:uid="{00000000-0005-0000-0000-000059BA0000}"/>
    <cellStyle name="SAPBEXHLevel0X 9 4 2 2" xfId="47539" xr:uid="{00000000-0005-0000-0000-00005ABA0000}"/>
    <cellStyle name="SAPBEXHLevel0X 9 4 3" xfId="47540" xr:uid="{00000000-0005-0000-0000-00005BBA0000}"/>
    <cellStyle name="SAPBEXHLevel0X 9 5" xfId="47541" xr:uid="{00000000-0005-0000-0000-00005CBA0000}"/>
    <cellStyle name="SAPBEXHLevel0X 9 5 2" xfId="47542" xr:uid="{00000000-0005-0000-0000-00005DBA0000}"/>
    <cellStyle name="SAPBEXHLevel0X 9 5 2 2" xfId="47543" xr:uid="{00000000-0005-0000-0000-00005EBA0000}"/>
    <cellStyle name="SAPBEXHLevel0X 9 5 3" xfId="47544" xr:uid="{00000000-0005-0000-0000-00005FBA0000}"/>
    <cellStyle name="SAPBEXHLevel0X 9 6" xfId="47545" xr:uid="{00000000-0005-0000-0000-000060BA0000}"/>
    <cellStyle name="SAPBEXHLevel0X 9 6 2" xfId="47546" xr:uid="{00000000-0005-0000-0000-000061BA0000}"/>
    <cellStyle name="SAPBEXHLevel0X 9 7" xfId="47547" xr:uid="{00000000-0005-0000-0000-000062BA0000}"/>
    <cellStyle name="SAPBEXHLevel1" xfId="62" xr:uid="{00000000-0005-0000-0000-000063BA0000}"/>
    <cellStyle name="SAPBEXHLevel1 10" xfId="47548" xr:uid="{00000000-0005-0000-0000-000064BA0000}"/>
    <cellStyle name="SAPBEXHLevel1 10 2" xfId="47549" xr:uid="{00000000-0005-0000-0000-000065BA0000}"/>
    <cellStyle name="SAPBEXHLevel1 10 2 2" xfId="47550" xr:uid="{00000000-0005-0000-0000-000066BA0000}"/>
    <cellStyle name="SAPBEXHLevel1 10 3" xfId="47551" xr:uid="{00000000-0005-0000-0000-000067BA0000}"/>
    <cellStyle name="SAPBEXHLevel1 11" xfId="47552" xr:uid="{00000000-0005-0000-0000-000068BA0000}"/>
    <cellStyle name="SAPBEXHLevel1 11 2" xfId="47553" xr:uid="{00000000-0005-0000-0000-000069BA0000}"/>
    <cellStyle name="SAPBEXHLevel1 12" xfId="47554" xr:uid="{00000000-0005-0000-0000-00006ABA0000}"/>
    <cellStyle name="SAPBEXHLevel1 12 2" xfId="47555" xr:uid="{00000000-0005-0000-0000-00006BBA0000}"/>
    <cellStyle name="SAPBEXHLevel1 12 2 2" xfId="47556" xr:uid="{00000000-0005-0000-0000-00006CBA0000}"/>
    <cellStyle name="SAPBEXHLevel1 12 3" xfId="47557" xr:uid="{00000000-0005-0000-0000-00006DBA0000}"/>
    <cellStyle name="SAPBEXHLevel1 12 3 2" xfId="47558" xr:uid="{00000000-0005-0000-0000-00006EBA0000}"/>
    <cellStyle name="SAPBEXHLevel1 12 4" xfId="47559" xr:uid="{00000000-0005-0000-0000-00006FBA0000}"/>
    <cellStyle name="SAPBEXHLevel1 13" xfId="47560" xr:uid="{00000000-0005-0000-0000-000070BA0000}"/>
    <cellStyle name="SAPBEXHLevel1 13 2" xfId="47561" xr:uid="{00000000-0005-0000-0000-000071BA0000}"/>
    <cellStyle name="SAPBEXHLevel1 14" xfId="47562" xr:uid="{00000000-0005-0000-0000-000072BA0000}"/>
    <cellStyle name="SAPBEXHLevel1 14 2" xfId="47563" xr:uid="{00000000-0005-0000-0000-000073BA0000}"/>
    <cellStyle name="SAPBEXHLevel1 14 3" xfId="47564" xr:uid="{00000000-0005-0000-0000-000074BA0000}"/>
    <cellStyle name="SAPBEXHLevel1 15" xfId="47565" xr:uid="{00000000-0005-0000-0000-000075BA0000}"/>
    <cellStyle name="SAPBEXHLevel1 15 2" xfId="47566" xr:uid="{00000000-0005-0000-0000-000076BA0000}"/>
    <cellStyle name="SAPBEXHLevel1 16" xfId="47567" xr:uid="{00000000-0005-0000-0000-000077BA0000}"/>
    <cellStyle name="SAPBEXHLevel1 16 2" xfId="47568" xr:uid="{00000000-0005-0000-0000-000078BA0000}"/>
    <cellStyle name="SAPBEXHLevel1 17" xfId="47569" xr:uid="{00000000-0005-0000-0000-000079BA0000}"/>
    <cellStyle name="SAPBEXHLevel1 18" xfId="47570" xr:uid="{00000000-0005-0000-0000-00007ABA0000}"/>
    <cellStyle name="SAPBEXHLevel1 2" xfId="86" xr:uid="{00000000-0005-0000-0000-00007BBA0000}"/>
    <cellStyle name="SAPBEXHLevel1 2 10" xfId="47571" xr:uid="{00000000-0005-0000-0000-00007CBA0000}"/>
    <cellStyle name="SAPBEXHLevel1 2 2" xfId="47572" xr:uid="{00000000-0005-0000-0000-00007DBA0000}"/>
    <cellStyle name="SAPBEXHLevel1 2 2 2" xfId="47573" xr:uid="{00000000-0005-0000-0000-00007EBA0000}"/>
    <cellStyle name="SAPBEXHLevel1 2 2 2 2" xfId="47574" xr:uid="{00000000-0005-0000-0000-00007FBA0000}"/>
    <cellStyle name="SAPBEXHLevel1 2 2 2 2 2" xfId="47575" xr:uid="{00000000-0005-0000-0000-000080BA0000}"/>
    <cellStyle name="SAPBEXHLevel1 2 2 2 3" xfId="47576" xr:uid="{00000000-0005-0000-0000-000081BA0000}"/>
    <cellStyle name="SAPBEXHLevel1 2 2 3" xfId="47577" xr:uid="{00000000-0005-0000-0000-000082BA0000}"/>
    <cellStyle name="SAPBEXHLevel1 2 2 3 2" xfId="47578" xr:uid="{00000000-0005-0000-0000-000083BA0000}"/>
    <cellStyle name="SAPBEXHLevel1 2 2 3 2 2" xfId="47579" xr:uid="{00000000-0005-0000-0000-000084BA0000}"/>
    <cellStyle name="SAPBEXHLevel1 2 2 3 3" xfId="47580" xr:uid="{00000000-0005-0000-0000-000085BA0000}"/>
    <cellStyle name="SAPBEXHLevel1 2 2 4" xfId="47581" xr:uid="{00000000-0005-0000-0000-000086BA0000}"/>
    <cellStyle name="SAPBEXHLevel1 2 2 4 2" xfId="47582" xr:uid="{00000000-0005-0000-0000-000087BA0000}"/>
    <cellStyle name="SAPBEXHLevel1 2 2 4 2 2" xfId="47583" xr:uid="{00000000-0005-0000-0000-000088BA0000}"/>
    <cellStyle name="SAPBEXHLevel1 2 2 4 3" xfId="47584" xr:uid="{00000000-0005-0000-0000-000089BA0000}"/>
    <cellStyle name="SAPBEXHLevel1 2 2 5" xfId="47585" xr:uid="{00000000-0005-0000-0000-00008ABA0000}"/>
    <cellStyle name="SAPBEXHLevel1 2 2 5 2" xfId="47586" xr:uid="{00000000-0005-0000-0000-00008BBA0000}"/>
    <cellStyle name="SAPBEXHLevel1 2 2 6" xfId="47587" xr:uid="{00000000-0005-0000-0000-00008CBA0000}"/>
    <cellStyle name="SAPBEXHLevel1 2 3" xfId="47588" xr:uid="{00000000-0005-0000-0000-00008DBA0000}"/>
    <cellStyle name="SAPBEXHLevel1 2 3 2" xfId="47589" xr:uid="{00000000-0005-0000-0000-00008EBA0000}"/>
    <cellStyle name="SAPBEXHLevel1 2 3 2 2" xfId="47590" xr:uid="{00000000-0005-0000-0000-00008FBA0000}"/>
    <cellStyle name="SAPBEXHLevel1 2 3 2 2 2" xfId="47591" xr:uid="{00000000-0005-0000-0000-000090BA0000}"/>
    <cellStyle name="SAPBEXHLevel1 2 3 2 2 2 2" xfId="47592" xr:uid="{00000000-0005-0000-0000-000091BA0000}"/>
    <cellStyle name="SAPBEXHLevel1 2 3 2 2 3" xfId="47593" xr:uid="{00000000-0005-0000-0000-000092BA0000}"/>
    <cellStyle name="SAPBEXHLevel1 2 3 2 3" xfId="47594" xr:uid="{00000000-0005-0000-0000-000093BA0000}"/>
    <cellStyle name="SAPBEXHLevel1 2 3 2 3 2" xfId="47595" xr:uid="{00000000-0005-0000-0000-000094BA0000}"/>
    <cellStyle name="SAPBEXHLevel1 2 3 2 3 2 2" xfId="47596" xr:uid="{00000000-0005-0000-0000-000095BA0000}"/>
    <cellStyle name="SAPBEXHLevel1 2 3 2 3 3" xfId="47597" xr:uid="{00000000-0005-0000-0000-000096BA0000}"/>
    <cellStyle name="SAPBEXHLevel1 2 3 2 4" xfId="47598" xr:uid="{00000000-0005-0000-0000-000097BA0000}"/>
    <cellStyle name="SAPBEXHLevel1 2 3 2 4 2" xfId="47599" xr:uid="{00000000-0005-0000-0000-000098BA0000}"/>
    <cellStyle name="SAPBEXHLevel1 2 3 2 5" xfId="47600" xr:uid="{00000000-0005-0000-0000-000099BA0000}"/>
    <cellStyle name="SAPBEXHLevel1 2 3 3" xfId="47601" xr:uid="{00000000-0005-0000-0000-00009ABA0000}"/>
    <cellStyle name="SAPBEXHLevel1 2 3 3 2" xfId="47602" xr:uid="{00000000-0005-0000-0000-00009BBA0000}"/>
    <cellStyle name="SAPBEXHLevel1 2 3 3 2 2" xfId="47603" xr:uid="{00000000-0005-0000-0000-00009CBA0000}"/>
    <cellStyle name="SAPBEXHLevel1 2 3 3 2 2 2" xfId="47604" xr:uid="{00000000-0005-0000-0000-00009DBA0000}"/>
    <cellStyle name="SAPBEXHLevel1 2 3 3 2 3" xfId="47605" xr:uid="{00000000-0005-0000-0000-00009EBA0000}"/>
    <cellStyle name="SAPBEXHLevel1 2 3 3 3" xfId="47606" xr:uid="{00000000-0005-0000-0000-00009FBA0000}"/>
    <cellStyle name="SAPBEXHLevel1 2 3 3 3 2" xfId="47607" xr:uid="{00000000-0005-0000-0000-0000A0BA0000}"/>
    <cellStyle name="SAPBEXHLevel1 2 3 3 4" xfId="47608" xr:uid="{00000000-0005-0000-0000-0000A1BA0000}"/>
    <cellStyle name="SAPBEXHLevel1 2 3 4" xfId="47609" xr:uid="{00000000-0005-0000-0000-0000A2BA0000}"/>
    <cellStyle name="SAPBEXHLevel1 2 3 4 2" xfId="47610" xr:uid="{00000000-0005-0000-0000-0000A3BA0000}"/>
    <cellStyle name="SAPBEXHLevel1 2 3 4 2 2" xfId="47611" xr:uid="{00000000-0005-0000-0000-0000A4BA0000}"/>
    <cellStyle name="SAPBEXHLevel1 2 3 4 3" xfId="47612" xr:uid="{00000000-0005-0000-0000-0000A5BA0000}"/>
    <cellStyle name="SAPBEXHLevel1 2 3 5" xfId="47613" xr:uid="{00000000-0005-0000-0000-0000A6BA0000}"/>
    <cellStyle name="SAPBEXHLevel1 2 3 5 2" xfId="47614" xr:uid="{00000000-0005-0000-0000-0000A7BA0000}"/>
    <cellStyle name="SAPBEXHLevel1 2 3 5 2 2" xfId="47615" xr:uid="{00000000-0005-0000-0000-0000A8BA0000}"/>
    <cellStyle name="SAPBEXHLevel1 2 3 5 3" xfId="47616" xr:uid="{00000000-0005-0000-0000-0000A9BA0000}"/>
    <cellStyle name="SAPBEXHLevel1 2 3 6" xfId="47617" xr:uid="{00000000-0005-0000-0000-0000AABA0000}"/>
    <cellStyle name="SAPBEXHLevel1 2 3 6 2" xfId="47618" xr:uid="{00000000-0005-0000-0000-0000ABBA0000}"/>
    <cellStyle name="SAPBEXHLevel1 2 3 7" xfId="47619" xr:uid="{00000000-0005-0000-0000-0000ACBA0000}"/>
    <cellStyle name="SAPBEXHLevel1 2 4" xfId="47620" xr:uid="{00000000-0005-0000-0000-0000ADBA0000}"/>
    <cellStyle name="SAPBEXHLevel1 2 4 2" xfId="47621" xr:uid="{00000000-0005-0000-0000-0000AEBA0000}"/>
    <cellStyle name="SAPBEXHLevel1 2 4 2 2" xfId="47622" xr:uid="{00000000-0005-0000-0000-0000AFBA0000}"/>
    <cellStyle name="SAPBEXHLevel1 2 4 2 2 2" xfId="47623" xr:uid="{00000000-0005-0000-0000-0000B0BA0000}"/>
    <cellStyle name="SAPBEXHLevel1 2 4 2 2 2 2" xfId="47624" xr:uid="{00000000-0005-0000-0000-0000B1BA0000}"/>
    <cellStyle name="SAPBEXHLevel1 2 4 2 2 2 2 2" xfId="47625" xr:uid="{00000000-0005-0000-0000-0000B2BA0000}"/>
    <cellStyle name="SAPBEXHLevel1 2 4 2 2 2 2 2 2" xfId="47626" xr:uid="{00000000-0005-0000-0000-0000B3BA0000}"/>
    <cellStyle name="SAPBEXHLevel1 2 4 2 2 2 2 3" xfId="47627" xr:uid="{00000000-0005-0000-0000-0000B4BA0000}"/>
    <cellStyle name="SAPBEXHLevel1 2 4 2 2 2 3" xfId="47628" xr:uid="{00000000-0005-0000-0000-0000B5BA0000}"/>
    <cellStyle name="SAPBEXHLevel1 2 4 2 2 2 3 2" xfId="47629" xr:uid="{00000000-0005-0000-0000-0000B6BA0000}"/>
    <cellStyle name="SAPBEXHLevel1 2 4 2 2 2 4" xfId="47630" xr:uid="{00000000-0005-0000-0000-0000B7BA0000}"/>
    <cellStyle name="SAPBEXHLevel1 2 4 2 2 3" xfId="47631" xr:uid="{00000000-0005-0000-0000-0000B8BA0000}"/>
    <cellStyle name="SAPBEXHLevel1 2 4 2 2 3 2" xfId="47632" xr:uid="{00000000-0005-0000-0000-0000B9BA0000}"/>
    <cellStyle name="SAPBEXHLevel1 2 4 2 2 3 2 2" xfId="47633" xr:uid="{00000000-0005-0000-0000-0000BABA0000}"/>
    <cellStyle name="SAPBEXHLevel1 2 4 2 2 3 3" xfId="47634" xr:uid="{00000000-0005-0000-0000-0000BBBA0000}"/>
    <cellStyle name="SAPBEXHLevel1 2 4 2 2 4" xfId="47635" xr:uid="{00000000-0005-0000-0000-0000BCBA0000}"/>
    <cellStyle name="SAPBEXHLevel1 2 4 2 2 4 2" xfId="47636" xr:uid="{00000000-0005-0000-0000-0000BDBA0000}"/>
    <cellStyle name="SAPBEXHLevel1 2 4 2 2 5" xfId="47637" xr:uid="{00000000-0005-0000-0000-0000BEBA0000}"/>
    <cellStyle name="SAPBEXHLevel1 2 4 2 3" xfId="47638" xr:uid="{00000000-0005-0000-0000-0000BFBA0000}"/>
    <cellStyle name="SAPBEXHLevel1 2 4 2 3 2" xfId="47639" xr:uid="{00000000-0005-0000-0000-0000C0BA0000}"/>
    <cellStyle name="SAPBEXHLevel1 2 4 2 3 2 2" xfId="47640" xr:uid="{00000000-0005-0000-0000-0000C1BA0000}"/>
    <cellStyle name="SAPBEXHLevel1 2 4 2 3 3" xfId="47641" xr:uid="{00000000-0005-0000-0000-0000C2BA0000}"/>
    <cellStyle name="SAPBEXHLevel1 2 4 2 4" xfId="47642" xr:uid="{00000000-0005-0000-0000-0000C3BA0000}"/>
    <cellStyle name="SAPBEXHLevel1 2 4 2 4 2" xfId="47643" xr:uid="{00000000-0005-0000-0000-0000C4BA0000}"/>
    <cellStyle name="SAPBEXHLevel1 2 4 2 4 2 2" xfId="47644" xr:uid="{00000000-0005-0000-0000-0000C5BA0000}"/>
    <cellStyle name="SAPBEXHLevel1 2 4 2 4 2 2 2" xfId="47645" xr:uid="{00000000-0005-0000-0000-0000C6BA0000}"/>
    <cellStyle name="SAPBEXHLevel1 2 4 2 4 2 3" xfId="47646" xr:uid="{00000000-0005-0000-0000-0000C7BA0000}"/>
    <cellStyle name="SAPBEXHLevel1 2 4 2 4 3" xfId="47647" xr:uid="{00000000-0005-0000-0000-0000C8BA0000}"/>
    <cellStyle name="SAPBEXHLevel1 2 4 2 4 3 2" xfId="47648" xr:uid="{00000000-0005-0000-0000-0000C9BA0000}"/>
    <cellStyle name="SAPBEXHLevel1 2 4 2 4 4" xfId="47649" xr:uid="{00000000-0005-0000-0000-0000CABA0000}"/>
    <cellStyle name="SAPBEXHLevel1 2 4 2 5" xfId="47650" xr:uid="{00000000-0005-0000-0000-0000CBBA0000}"/>
    <cellStyle name="SAPBEXHLevel1 2 4 2 5 2" xfId="47651" xr:uid="{00000000-0005-0000-0000-0000CCBA0000}"/>
    <cellStyle name="SAPBEXHLevel1 2 4 2 5 2 2" xfId="47652" xr:uid="{00000000-0005-0000-0000-0000CDBA0000}"/>
    <cellStyle name="SAPBEXHLevel1 2 4 2 5 3" xfId="47653" xr:uid="{00000000-0005-0000-0000-0000CEBA0000}"/>
    <cellStyle name="SAPBEXHLevel1 2 4 2 6" xfId="47654" xr:uid="{00000000-0005-0000-0000-0000CFBA0000}"/>
    <cellStyle name="SAPBEXHLevel1 2 4 2 6 2" xfId="47655" xr:uid="{00000000-0005-0000-0000-0000D0BA0000}"/>
    <cellStyle name="SAPBEXHLevel1 2 4 2 7" xfId="47656" xr:uid="{00000000-0005-0000-0000-0000D1BA0000}"/>
    <cellStyle name="SAPBEXHLevel1 2 4 3" xfId="47657" xr:uid="{00000000-0005-0000-0000-0000D2BA0000}"/>
    <cellStyle name="SAPBEXHLevel1 2 4 3 2" xfId="47658" xr:uid="{00000000-0005-0000-0000-0000D3BA0000}"/>
    <cellStyle name="SAPBEXHLevel1 2 4 3 2 2" xfId="47659" xr:uid="{00000000-0005-0000-0000-0000D4BA0000}"/>
    <cellStyle name="SAPBEXHLevel1 2 4 3 2 2 2" xfId="47660" xr:uid="{00000000-0005-0000-0000-0000D5BA0000}"/>
    <cellStyle name="SAPBEXHLevel1 2 4 3 2 2 2 2" xfId="47661" xr:uid="{00000000-0005-0000-0000-0000D6BA0000}"/>
    <cellStyle name="SAPBEXHLevel1 2 4 3 2 2 2 2 2" xfId="47662" xr:uid="{00000000-0005-0000-0000-0000D7BA0000}"/>
    <cellStyle name="SAPBEXHLevel1 2 4 3 2 2 2 3" xfId="47663" xr:uid="{00000000-0005-0000-0000-0000D8BA0000}"/>
    <cellStyle name="SAPBEXHLevel1 2 4 3 2 2 3" xfId="47664" xr:uid="{00000000-0005-0000-0000-0000D9BA0000}"/>
    <cellStyle name="SAPBEXHLevel1 2 4 3 2 2 3 2" xfId="47665" xr:uid="{00000000-0005-0000-0000-0000DABA0000}"/>
    <cellStyle name="SAPBEXHLevel1 2 4 3 2 2 4" xfId="47666" xr:uid="{00000000-0005-0000-0000-0000DBBA0000}"/>
    <cellStyle name="SAPBEXHLevel1 2 4 3 2 3" xfId="47667" xr:uid="{00000000-0005-0000-0000-0000DCBA0000}"/>
    <cellStyle name="SAPBEXHLevel1 2 4 3 2 3 2" xfId="47668" xr:uid="{00000000-0005-0000-0000-0000DDBA0000}"/>
    <cellStyle name="SAPBEXHLevel1 2 4 3 2 3 2 2" xfId="47669" xr:uid="{00000000-0005-0000-0000-0000DEBA0000}"/>
    <cellStyle name="SAPBEXHLevel1 2 4 3 2 3 3" xfId="47670" xr:uid="{00000000-0005-0000-0000-0000DFBA0000}"/>
    <cellStyle name="SAPBEXHLevel1 2 4 3 2 4" xfId="47671" xr:uid="{00000000-0005-0000-0000-0000E0BA0000}"/>
    <cellStyle name="SAPBEXHLevel1 2 4 3 2 4 2" xfId="47672" xr:uid="{00000000-0005-0000-0000-0000E1BA0000}"/>
    <cellStyle name="SAPBEXHLevel1 2 4 3 2 5" xfId="47673" xr:uid="{00000000-0005-0000-0000-0000E2BA0000}"/>
    <cellStyle name="SAPBEXHLevel1 2 4 3 3" xfId="47674" xr:uid="{00000000-0005-0000-0000-0000E3BA0000}"/>
    <cellStyle name="SAPBEXHLevel1 2 4 3 3 2" xfId="47675" xr:uid="{00000000-0005-0000-0000-0000E4BA0000}"/>
    <cellStyle name="SAPBEXHLevel1 2 4 3 3 2 2" xfId="47676" xr:uid="{00000000-0005-0000-0000-0000E5BA0000}"/>
    <cellStyle name="SAPBEXHLevel1 2 4 3 3 2 2 2" xfId="47677" xr:uid="{00000000-0005-0000-0000-0000E6BA0000}"/>
    <cellStyle name="SAPBEXHLevel1 2 4 3 3 2 3" xfId="47678" xr:uid="{00000000-0005-0000-0000-0000E7BA0000}"/>
    <cellStyle name="SAPBEXHLevel1 2 4 3 3 3" xfId="47679" xr:uid="{00000000-0005-0000-0000-0000E8BA0000}"/>
    <cellStyle name="SAPBEXHLevel1 2 4 3 3 3 2" xfId="47680" xr:uid="{00000000-0005-0000-0000-0000E9BA0000}"/>
    <cellStyle name="SAPBEXHLevel1 2 4 3 3 4" xfId="47681" xr:uid="{00000000-0005-0000-0000-0000EABA0000}"/>
    <cellStyle name="SAPBEXHLevel1 2 4 3 4" xfId="47682" xr:uid="{00000000-0005-0000-0000-0000EBBA0000}"/>
    <cellStyle name="SAPBEXHLevel1 2 4 3 4 2" xfId="47683" xr:uid="{00000000-0005-0000-0000-0000ECBA0000}"/>
    <cellStyle name="SAPBEXHLevel1 2 4 3 4 2 2" xfId="47684" xr:uid="{00000000-0005-0000-0000-0000EDBA0000}"/>
    <cellStyle name="SAPBEXHLevel1 2 4 3 4 3" xfId="47685" xr:uid="{00000000-0005-0000-0000-0000EEBA0000}"/>
    <cellStyle name="SAPBEXHLevel1 2 4 3 5" xfId="47686" xr:uid="{00000000-0005-0000-0000-0000EFBA0000}"/>
    <cellStyle name="SAPBEXHLevel1 2 4 3 5 2" xfId="47687" xr:uid="{00000000-0005-0000-0000-0000F0BA0000}"/>
    <cellStyle name="SAPBEXHLevel1 2 4 3 6" xfId="47688" xr:uid="{00000000-0005-0000-0000-0000F1BA0000}"/>
    <cellStyle name="SAPBEXHLevel1 2 4 4" xfId="47689" xr:uid="{00000000-0005-0000-0000-0000F2BA0000}"/>
    <cellStyle name="SAPBEXHLevel1 2 4 4 2" xfId="47690" xr:uid="{00000000-0005-0000-0000-0000F3BA0000}"/>
    <cellStyle name="SAPBEXHLevel1 2 4 4 2 2" xfId="47691" xr:uid="{00000000-0005-0000-0000-0000F4BA0000}"/>
    <cellStyle name="SAPBEXHLevel1 2 4 4 3" xfId="47692" xr:uid="{00000000-0005-0000-0000-0000F5BA0000}"/>
    <cellStyle name="SAPBEXHLevel1 2 4 5" xfId="47693" xr:uid="{00000000-0005-0000-0000-0000F6BA0000}"/>
    <cellStyle name="SAPBEXHLevel1 2 4 5 2" xfId="47694" xr:uid="{00000000-0005-0000-0000-0000F7BA0000}"/>
    <cellStyle name="SAPBEXHLevel1 2 4 5 2 2" xfId="47695" xr:uid="{00000000-0005-0000-0000-0000F8BA0000}"/>
    <cellStyle name="SAPBEXHLevel1 2 4 5 2 2 2" xfId="47696" xr:uid="{00000000-0005-0000-0000-0000F9BA0000}"/>
    <cellStyle name="SAPBEXHLevel1 2 4 5 2 3" xfId="47697" xr:uid="{00000000-0005-0000-0000-0000FABA0000}"/>
    <cellStyle name="SAPBEXHLevel1 2 4 5 3" xfId="47698" xr:uid="{00000000-0005-0000-0000-0000FBBA0000}"/>
    <cellStyle name="SAPBEXHLevel1 2 4 5 3 2" xfId="47699" xr:uid="{00000000-0005-0000-0000-0000FCBA0000}"/>
    <cellStyle name="SAPBEXHLevel1 2 4 5 4" xfId="47700" xr:uid="{00000000-0005-0000-0000-0000FDBA0000}"/>
    <cellStyle name="SAPBEXHLevel1 2 4 6" xfId="47701" xr:uid="{00000000-0005-0000-0000-0000FEBA0000}"/>
    <cellStyle name="SAPBEXHLevel1 2 4 6 2" xfId="47702" xr:uid="{00000000-0005-0000-0000-0000FFBA0000}"/>
    <cellStyle name="SAPBEXHLevel1 2 4 6 2 2" xfId="47703" xr:uid="{00000000-0005-0000-0000-000000BB0000}"/>
    <cellStyle name="SAPBEXHLevel1 2 4 6 3" xfId="47704" xr:uid="{00000000-0005-0000-0000-000001BB0000}"/>
    <cellStyle name="SAPBEXHLevel1 2 4 7" xfId="47705" xr:uid="{00000000-0005-0000-0000-000002BB0000}"/>
    <cellStyle name="SAPBEXHLevel1 2 4 7 2" xfId="47706" xr:uid="{00000000-0005-0000-0000-000003BB0000}"/>
    <cellStyle name="SAPBEXHLevel1 2 4 8" xfId="47707" xr:uid="{00000000-0005-0000-0000-000004BB0000}"/>
    <cellStyle name="SAPBEXHLevel1 2 5" xfId="47708" xr:uid="{00000000-0005-0000-0000-000005BB0000}"/>
    <cellStyle name="SAPBEXHLevel1 2 5 2" xfId="47709" xr:uid="{00000000-0005-0000-0000-000006BB0000}"/>
    <cellStyle name="SAPBEXHLevel1 2 5 2 2" xfId="47710" xr:uid="{00000000-0005-0000-0000-000007BB0000}"/>
    <cellStyle name="SAPBEXHLevel1 2 5 2 2 2" xfId="47711" xr:uid="{00000000-0005-0000-0000-000008BB0000}"/>
    <cellStyle name="SAPBEXHLevel1 2 5 2 3" xfId="47712" xr:uid="{00000000-0005-0000-0000-000009BB0000}"/>
    <cellStyle name="SAPBEXHLevel1 2 5 3" xfId="47713" xr:uid="{00000000-0005-0000-0000-00000ABB0000}"/>
    <cellStyle name="SAPBEXHLevel1 2 5 3 2" xfId="47714" xr:uid="{00000000-0005-0000-0000-00000BBB0000}"/>
    <cellStyle name="SAPBEXHLevel1 2 5 4" xfId="47715" xr:uid="{00000000-0005-0000-0000-00000CBB0000}"/>
    <cellStyle name="SAPBEXHLevel1 2 6" xfId="47716" xr:uid="{00000000-0005-0000-0000-00000DBB0000}"/>
    <cellStyle name="SAPBEXHLevel1 2 6 2" xfId="47717" xr:uid="{00000000-0005-0000-0000-00000EBB0000}"/>
    <cellStyle name="SAPBEXHLevel1 2 6 2 2" xfId="47718" xr:uid="{00000000-0005-0000-0000-00000FBB0000}"/>
    <cellStyle name="SAPBEXHLevel1 2 6 3" xfId="47719" xr:uid="{00000000-0005-0000-0000-000010BB0000}"/>
    <cellStyle name="SAPBEXHLevel1 2 7" xfId="47720" xr:uid="{00000000-0005-0000-0000-000011BB0000}"/>
    <cellStyle name="SAPBEXHLevel1 2 7 2" xfId="47721" xr:uid="{00000000-0005-0000-0000-000012BB0000}"/>
    <cellStyle name="SAPBEXHLevel1 2 7 2 2" xfId="47722" xr:uid="{00000000-0005-0000-0000-000013BB0000}"/>
    <cellStyle name="SAPBEXHLevel1 2 7 3" xfId="47723" xr:uid="{00000000-0005-0000-0000-000014BB0000}"/>
    <cellStyle name="SAPBEXHLevel1 2 8" xfId="47724" xr:uid="{00000000-0005-0000-0000-000015BB0000}"/>
    <cellStyle name="SAPBEXHLevel1 2 8 2" xfId="47725" xr:uid="{00000000-0005-0000-0000-000016BB0000}"/>
    <cellStyle name="SAPBEXHLevel1 2 8 2 2" xfId="47726" xr:uid="{00000000-0005-0000-0000-000017BB0000}"/>
    <cellStyle name="SAPBEXHLevel1 2 8 2 2 2" xfId="47727" xr:uid="{00000000-0005-0000-0000-000018BB0000}"/>
    <cellStyle name="SAPBEXHLevel1 2 8 2 2 2 2" xfId="47728" xr:uid="{00000000-0005-0000-0000-000019BB0000}"/>
    <cellStyle name="SAPBEXHLevel1 2 8 2 2 3" xfId="47729" xr:uid="{00000000-0005-0000-0000-00001ABB0000}"/>
    <cellStyle name="SAPBEXHLevel1 2 8 2 3" xfId="47730" xr:uid="{00000000-0005-0000-0000-00001BBB0000}"/>
    <cellStyle name="SAPBEXHLevel1 2 8 2 3 2" xfId="47731" xr:uid="{00000000-0005-0000-0000-00001CBB0000}"/>
    <cellStyle name="SAPBEXHLevel1 2 8 2 4" xfId="47732" xr:uid="{00000000-0005-0000-0000-00001DBB0000}"/>
    <cellStyle name="SAPBEXHLevel1 2 8 3" xfId="47733" xr:uid="{00000000-0005-0000-0000-00001EBB0000}"/>
    <cellStyle name="SAPBEXHLevel1 2 8 3 2" xfId="47734" xr:uid="{00000000-0005-0000-0000-00001FBB0000}"/>
    <cellStyle name="SAPBEXHLevel1 2 8 3 2 2" xfId="47735" xr:uid="{00000000-0005-0000-0000-000020BB0000}"/>
    <cellStyle name="SAPBEXHLevel1 2 8 3 3" xfId="47736" xr:uid="{00000000-0005-0000-0000-000021BB0000}"/>
    <cellStyle name="SAPBEXHLevel1 2 8 4" xfId="47737" xr:uid="{00000000-0005-0000-0000-000022BB0000}"/>
    <cellStyle name="SAPBEXHLevel1 2 8 4 2" xfId="47738" xr:uid="{00000000-0005-0000-0000-000023BB0000}"/>
    <cellStyle name="SAPBEXHLevel1 2 8 5" xfId="47739" xr:uid="{00000000-0005-0000-0000-000024BB0000}"/>
    <cellStyle name="SAPBEXHLevel1 2 9" xfId="47740" xr:uid="{00000000-0005-0000-0000-000025BB0000}"/>
    <cellStyle name="SAPBEXHLevel1 2 9 2" xfId="47741" xr:uid="{00000000-0005-0000-0000-000026BB0000}"/>
    <cellStyle name="SAPBEXHLevel1 3" xfId="47742" xr:uid="{00000000-0005-0000-0000-000027BB0000}"/>
    <cellStyle name="SAPBEXHLevel1 3 2" xfId="47743" xr:uid="{00000000-0005-0000-0000-000028BB0000}"/>
    <cellStyle name="SAPBEXHLevel1 3 2 2" xfId="47744" xr:uid="{00000000-0005-0000-0000-000029BB0000}"/>
    <cellStyle name="SAPBEXHLevel1 3 2 2 2" xfId="47745" xr:uid="{00000000-0005-0000-0000-00002ABB0000}"/>
    <cellStyle name="SAPBEXHLevel1 3 2 2 2 2" xfId="47746" xr:uid="{00000000-0005-0000-0000-00002BBB0000}"/>
    <cellStyle name="SAPBEXHLevel1 3 2 2 3" xfId="47747" xr:uid="{00000000-0005-0000-0000-00002CBB0000}"/>
    <cellStyle name="SAPBEXHLevel1 3 2 3" xfId="47748" xr:uid="{00000000-0005-0000-0000-00002DBB0000}"/>
    <cellStyle name="SAPBEXHLevel1 3 2 3 2" xfId="47749" xr:uid="{00000000-0005-0000-0000-00002EBB0000}"/>
    <cellStyle name="SAPBEXHLevel1 3 2 3 2 2" xfId="47750" xr:uid="{00000000-0005-0000-0000-00002FBB0000}"/>
    <cellStyle name="SAPBEXHLevel1 3 2 3 3" xfId="47751" xr:uid="{00000000-0005-0000-0000-000030BB0000}"/>
    <cellStyle name="SAPBEXHLevel1 3 2 4" xfId="47752" xr:uid="{00000000-0005-0000-0000-000031BB0000}"/>
    <cellStyle name="SAPBEXHLevel1 3 2 4 2" xfId="47753" xr:uid="{00000000-0005-0000-0000-000032BB0000}"/>
    <cellStyle name="SAPBEXHLevel1 3 2 4 2 2" xfId="47754" xr:uid="{00000000-0005-0000-0000-000033BB0000}"/>
    <cellStyle name="SAPBEXHLevel1 3 2 4 3" xfId="47755" xr:uid="{00000000-0005-0000-0000-000034BB0000}"/>
    <cellStyle name="SAPBEXHLevel1 3 2 5" xfId="47756" xr:uid="{00000000-0005-0000-0000-000035BB0000}"/>
    <cellStyle name="SAPBEXHLevel1 3 2 5 2" xfId="47757" xr:uid="{00000000-0005-0000-0000-000036BB0000}"/>
    <cellStyle name="SAPBEXHLevel1 3 2 6" xfId="47758" xr:uid="{00000000-0005-0000-0000-000037BB0000}"/>
    <cellStyle name="SAPBEXHLevel1 3 3" xfId="47759" xr:uid="{00000000-0005-0000-0000-000038BB0000}"/>
    <cellStyle name="SAPBEXHLevel1 3 3 2" xfId="47760" xr:uid="{00000000-0005-0000-0000-000039BB0000}"/>
    <cellStyle name="SAPBEXHLevel1 3 3 2 2" xfId="47761" xr:uid="{00000000-0005-0000-0000-00003ABB0000}"/>
    <cellStyle name="SAPBEXHLevel1 3 3 2 2 2" xfId="47762" xr:uid="{00000000-0005-0000-0000-00003BBB0000}"/>
    <cellStyle name="SAPBEXHLevel1 3 3 2 3" xfId="47763" xr:uid="{00000000-0005-0000-0000-00003CBB0000}"/>
    <cellStyle name="SAPBEXHLevel1 3 3 3" xfId="47764" xr:uid="{00000000-0005-0000-0000-00003DBB0000}"/>
    <cellStyle name="SAPBEXHLevel1 3 3 3 2" xfId="47765" xr:uid="{00000000-0005-0000-0000-00003EBB0000}"/>
    <cellStyle name="SAPBEXHLevel1 3 3 4" xfId="47766" xr:uid="{00000000-0005-0000-0000-00003FBB0000}"/>
    <cellStyle name="SAPBEXHLevel1 3 4" xfId="47767" xr:uid="{00000000-0005-0000-0000-000040BB0000}"/>
    <cellStyle name="SAPBEXHLevel1 3 4 2" xfId="47768" xr:uid="{00000000-0005-0000-0000-000041BB0000}"/>
    <cellStyle name="SAPBEXHLevel1 3 4 2 2" xfId="47769" xr:uid="{00000000-0005-0000-0000-000042BB0000}"/>
    <cellStyle name="SAPBEXHLevel1 3 4 3" xfId="47770" xr:uid="{00000000-0005-0000-0000-000043BB0000}"/>
    <cellStyle name="SAPBEXHLevel1 3 5" xfId="47771" xr:uid="{00000000-0005-0000-0000-000044BB0000}"/>
    <cellStyle name="SAPBEXHLevel1 3 5 2" xfId="47772" xr:uid="{00000000-0005-0000-0000-000045BB0000}"/>
    <cellStyle name="SAPBEXHLevel1 3 5 2 2" xfId="47773" xr:uid="{00000000-0005-0000-0000-000046BB0000}"/>
    <cellStyle name="SAPBEXHLevel1 3 5 3" xfId="47774" xr:uid="{00000000-0005-0000-0000-000047BB0000}"/>
    <cellStyle name="SAPBEXHLevel1 3 6" xfId="47775" xr:uid="{00000000-0005-0000-0000-000048BB0000}"/>
    <cellStyle name="SAPBEXHLevel1 3 6 2" xfId="47776" xr:uid="{00000000-0005-0000-0000-000049BB0000}"/>
    <cellStyle name="SAPBEXHLevel1 3 6 2 2" xfId="47777" xr:uid="{00000000-0005-0000-0000-00004ABB0000}"/>
    <cellStyle name="SAPBEXHLevel1 3 6 2 2 2" xfId="47778" xr:uid="{00000000-0005-0000-0000-00004BBB0000}"/>
    <cellStyle name="SAPBEXHLevel1 3 6 2 2 2 2" xfId="47779" xr:uid="{00000000-0005-0000-0000-00004CBB0000}"/>
    <cellStyle name="SAPBEXHLevel1 3 6 2 2 3" xfId="47780" xr:uid="{00000000-0005-0000-0000-00004DBB0000}"/>
    <cellStyle name="SAPBEXHLevel1 3 6 2 3" xfId="47781" xr:uid="{00000000-0005-0000-0000-00004EBB0000}"/>
    <cellStyle name="SAPBEXHLevel1 3 6 2 3 2" xfId="47782" xr:uid="{00000000-0005-0000-0000-00004FBB0000}"/>
    <cellStyle name="SAPBEXHLevel1 3 6 2 4" xfId="47783" xr:uid="{00000000-0005-0000-0000-000050BB0000}"/>
    <cellStyle name="SAPBEXHLevel1 3 6 3" xfId="47784" xr:uid="{00000000-0005-0000-0000-000051BB0000}"/>
    <cellStyle name="SAPBEXHLevel1 3 6 3 2" xfId="47785" xr:uid="{00000000-0005-0000-0000-000052BB0000}"/>
    <cellStyle name="SAPBEXHLevel1 3 6 3 2 2" xfId="47786" xr:uid="{00000000-0005-0000-0000-000053BB0000}"/>
    <cellStyle name="SAPBEXHLevel1 3 6 3 3" xfId="47787" xr:uid="{00000000-0005-0000-0000-000054BB0000}"/>
    <cellStyle name="SAPBEXHLevel1 3 6 4" xfId="47788" xr:uid="{00000000-0005-0000-0000-000055BB0000}"/>
    <cellStyle name="SAPBEXHLevel1 3 6 4 2" xfId="47789" xr:uid="{00000000-0005-0000-0000-000056BB0000}"/>
    <cellStyle name="SAPBEXHLevel1 3 6 5" xfId="47790" xr:uid="{00000000-0005-0000-0000-000057BB0000}"/>
    <cellStyle name="SAPBEXHLevel1 3 7" xfId="47791" xr:uid="{00000000-0005-0000-0000-000058BB0000}"/>
    <cellStyle name="SAPBEXHLevel1 3 7 2" xfId="47792" xr:uid="{00000000-0005-0000-0000-000059BB0000}"/>
    <cellStyle name="SAPBEXHLevel1 3 8" xfId="47793" xr:uid="{00000000-0005-0000-0000-00005ABB0000}"/>
    <cellStyle name="SAPBEXHLevel1 4" xfId="47794" xr:uid="{00000000-0005-0000-0000-00005BBB0000}"/>
    <cellStyle name="SAPBEXHLevel1 4 2" xfId="47795" xr:uid="{00000000-0005-0000-0000-00005CBB0000}"/>
    <cellStyle name="SAPBEXHLevel1 4 2 2" xfId="47796" xr:uid="{00000000-0005-0000-0000-00005DBB0000}"/>
    <cellStyle name="SAPBEXHLevel1 4 2 2 2" xfId="47797" xr:uid="{00000000-0005-0000-0000-00005EBB0000}"/>
    <cellStyle name="SAPBEXHLevel1 4 2 2 2 2" xfId="47798" xr:uid="{00000000-0005-0000-0000-00005FBB0000}"/>
    <cellStyle name="SAPBEXHLevel1 4 2 2 3" xfId="47799" xr:uid="{00000000-0005-0000-0000-000060BB0000}"/>
    <cellStyle name="SAPBEXHLevel1 4 2 3" xfId="47800" xr:uid="{00000000-0005-0000-0000-000061BB0000}"/>
    <cellStyle name="SAPBEXHLevel1 4 2 3 2" xfId="47801" xr:uid="{00000000-0005-0000-0000-000062BB0000}"/>
    <cellStyle name="SAPBEXHLevel1 4 2 3 2 2" xfId="47802" xr:uid="{00000000-0005-0000-0000-000063BB0000}"/>
    <cellStyle name="SAPBEXHLevel1 4 2 3 3" xfId="47803" xr:uid="{00000000-0005-0000-0000-000064BB0000}"/>
    <cellStyle name="SAPBEXHLevel1 4 2 4" xfId="47804" xr:uid="{00000000-0005-0000-0000-000065BB0000}"/>
    <cellStyle name="SAPBEXHLevel1 4 2 4 2" xfId="47805" xr:uid="{00000000-0005-0000-0000-000066BB0000}"/>
    <cellStyle name="SAPBEXHLevel1 4 2 4 2 2" xfId="47806" xr:uid="{00000000-0005-0000-0000-000067BB0000}"/>
    <cellStyle name="SAPBEXHLevel1 4 2 4 3" xfId="47807" xr:uid="{00000000-0005-0000-0000-000068BB0000}"/>
    <cellStyle name="SAPBEXHLevel1 4 2 5" xfId="47808" xr:uid="{00000000-0005-0000-0000-000069BB0000}"/>
    <cellStyle name="SAPBEXHLevel1 4 2 5 2" xfId="47809" xr:uid="{00000000-0005-0000-0000-00006ABB0000}"/>
    <cellStyle name="SAPBEXHLevel1 4 2 6" xfId="47810" xr:uid="{00000000-0005-0000-0000-00006BBB0000}"/>
    <cellStyle name="SAPBEXHLevel1 4 3" xfId="47811" xr:uid="{00000000-0005-0000-0000-00006CBB0000}"/>
    <cellStyle name="SAPBEXHLevel1 4 3 2" xfId="47812" xr:uid="{00000000-0005-0000-0000-00006DBB0000}"/>
    <cellStyle name="SAPBEXHLevel1 4 3 2 2" xfId="47813" xr:uid="{00000000-0005-0000-0000-00006EBB0000}"/>
    <cellStyle name="SAPBEXHLevel1 4 3 2 2 2" xfId="47814" xr:uid="{00000000-0005-0000-0000-00006FBB0000}"/>
    <cellStyle name="SAPBEXHLevel1 4 3 2 2 2 2" xfId="47815" xr:uid="{00000000-0005-0000-0000-000070BB0000}"/>
    <cellStyle name="SAPBEXHLevel1 4 3 2 2 3" xfId="47816" xr:uid="{00000000-0005-0000-0000-000071BB0000}"/>
    <cellStyle name="SAPBEXHLevel1 4 3 2 3" xfId="47817" xr:uid="{00000000-0005-0000-0000-000072BB0000}"/>
    <cellStyle name="SAPBEXHLevel1 4 3 2 3 2" xfId="47818" xr:uid="{00000000-0005-0000-0000-000073BB0000}"/>
    <cellStyle name="SAPBEXHLevel1 4 3 2 3 2 2" xfId="47819" xr:uid="{00000000-0005-0000-0000-000074BB0000}"/>
    <cellStyle name="SAPBEXHLevel1 4 3 2 3 3" xfId="47820" xr:uid="{00000000-0005-0000-0000-000075BB0000}"/>
    <cellStyle name="SAPBEXHLevel1 4 3 2 4" xfId="47821" xr:uid="{00000000-0005-0000-0000-000076BB0000}"/>
    <cellStyle name="SAPBEXHLevel1 4 3 2 4 2" xfId="47822" xr:uid="{00000000-0005-0000-0000-000077BB0000}"/>
    <cellStyle name="SAPBEXHLevel1 4 3 2 5" xfId="47823" xr:uid="{00000000-0005-0000-0000-000078BB0000}"/>
    <cellStyle name="SAPBEXHLevel1 4 3 3" xfId="47824" xr:uid="{00000000-0005-0000-0000-000079BB0000}"/>
    <cellStyle name="SAPBEXHLevel1 4 3 3 2" xfId="47825" xr:uid="{00000000-0005-0000-0000-00007ABB0000}"/>
    <cellStyle name="SAPBEXHLevel1 4 3 3 2 2" xfId="47826" xr:uid="{00000000-0005-0000-0000-00007BBB0000}"/>
    <cellStyle name="SAPBEXHLevel1 4 3 3 2 2 2" xfId="47827" xr:uid="{00000000-0005-0000-0000-00007CBB0000}"/>
    <cellStyle name="SAPBEXHLevel1 4 3 3 2 3" xfId="47828" xr:uid="{00000000-0005-0000-0000-00007DBB0000}"/>
    <cellStyle name="SAPBEXHLevel1 4 3 3 3" xfId="47829" xr:uid="{00000000-0005-0000-0000-00007EBB0000}"/>
    <cellStyle name="SAPBEXHLevel1 4 3 3 3 2" xfId="47830" xr:uid="{00000000-0005-0000-0000-00007FBB0000}"/>
    <cellStyle name="SAPBEXHLevel1 4 3 3 4" xfId="47831" xr:uid="{00000000-0005-0000-0000-000080BB0000}"/>
    <cellStyle name="SAPBEXHLevel1 4 3 4" xfId="47832" xr:uid="{00000000-0005-0000-0000-000081BB0000}"/>
    <cellStyle name="SAPBEXHLevel1 4 3 4 2" xfId="47833" xr:uid="{00000000-0005-0000-0000-000082BB0000}"/>
    <cellStyle name="SAPBEXHLevel1 4 3 4 2 2" xfId="47834" xr:uid="{00000000-0005-0000-0000-000083BB0000}"/>
    <cellStyle name="SAPBEXHLevel1 4 3 4 3" xfId="47835" xr:uid="{00000000-0005-0000-0000-000084BB0000}"/>
    <cellStyle name="SAPBEXHLevel1 4 3 5" xfId="47836" xr:uid="{00000000-0005-0000-0000-000085BB0000}"/>
    <cellStyle name="SAPBEXHLevel1 4 3 5 2" xfId="47837" xr:uid="{00000000-0005-0000-0000-000086BB0000}"/>
    <cellStyle name="SAPBEXHLevel1 4 3 5 2 2" xfId="47838" xr:uid="{00000000-0005-0000-0000-000087BB0000}"/>
    <cellStyle name="SAPBEXHLevel1 4 3 5 3" xfId="47839" xr:uid="{00000000-0005-0000-0000-000088BB0000}"/>
    <cellStyle name="SAPBEXHLevel1 4 3 6" xfId="47840" xr:uid="{00000000-0005-0000-0000-000089BB0000}"/>
    <cellStyle name="SAPBEXHLevel1 4 3 6 2" xfId="47841" xr:uid="{00000000-0005-0000-0000-00008ABB0000}"/>
    <cellStyle name="SAPBEXHLevel1 4 3 7" xfId="47842" xr:uid="{00000000-0005-0000-0000-00008BBB0000}"/>
    <cellStyle name="SAPBEXHLevel1 4 4" xfId="47843" xr:uid="{00000000-0005-0000-0000-00008CBB0000}"/>
    <cellStyle name="SAPBEXHLevel1 4 4 2" xfId="47844" xr:uid="{00000000-0005-0000-0000-00008DBB0000}"/>
    <cellStyle name="SAPBEXHLevel1 4 4 2 2" xfId="47845" xr:uid="{00000000-0005-0000-0000-00008EBB0000}"/>
    <cellStyle name="SAPBEXHLevel1 4 4 2 2 2" xfId="47846" xr:uid="{00000000-0005-0000-0000-00008FBB0000}"/>
    <cellStyle name="SAPBEXHLevel1 4 4 2 3" xfId="47847" xr:uid="{00000000-0005-0000-0000-000090BB0000}"/>
    <cellStyle name="SAPBEXHLevel1 4 4 3" xfId="47848" xr:uid="{00000000-0005-0000-0000-000091BB0000}"/>
    <cellStyle name="SAPBEXHLevel1 4 4 3 2" xfId="47849" xr:uid="{00000000-0005-0000-0000-000092BB0000}"/>
    <cellStyle name="SAPBEXHLevel1 4 4 4" xfId="47850" xr:uid="{00000000-0005-0000-0000-000093BB0000}"/>
    <cellStyle name="SAPBEXHLevel1 4 5" xfId="47851" xr:uid="{00000000-0005-0000-0000-000094BB0000}"/>
    <cellStyle name="SAPBEXHLevel1 4 5 2" xfId="47852" xr:uid="{00000000-0005-0000-0000-000095BB0000}"/>
    <cellStyle name="SAPBEXHLevel1 4 5 2 2" xfId="47853" xr:uid="{00000000-0005-0000-0000-000096BB0000}"/>
    <cellStyle name="SAPBEXHLevel1 4 5 3" xfId="47854" xr:uid="{00000000-0005-0000-0000-000097BB0000}"/>
    <cellStyle name="SAPBEXHLevel1 4 6" xfId="47855" xr:uid="{00000000-0005-0000-0000-000098BB0000}"/>
    <cellStyle name="SAPBEXHLevel1 4 6 2" xfId="47856" xr:uid="{00000000-0005-0000-0000-000099BB0000}"/>
    <cellStyle name="SAPBEXHLevel1 4 6 2 2" xfId="47857" xr:uid="{00000000-0005-0000-0000-00009ABB0000}"/>
    <cellStyle name="SAPBEXHLevel1 4 6 3" xfId="47858" xr:uid="{00000000-0005-0000-0000-00009BBB0000}"/>
    <cellStyle name="SAPBEXHLevel1 4 7" xfId="47859" xr:uid="{00000000-0005-0000-0000-00009CBB0000}"/>
    <cellStyle name="SAPBEXHLevel1 4 7 2" xfId="47860" xr:uid="{00000000-0005-0000-0000-00009DBB0000}"/>
    <cellStyle name="SAPBEXHLevel1 4 8" xfId="47861" xr:uid="{00000000-0005-0000-0000-00009EBB0000}"/>
    <cellStyle name="SAPBEXHLevel1 5" xfId="47862" xr:uid="{00000000-0005-0000-0000-00009FBB0000}"/>
    <cellStyle name="SAPBEXHLevel1 5 2" xfId="47863" xr:uid="{00000000-0005-0000-0000-0000A0BB0000}"/>
    <cellStyle name="SAPBEXHLevel1 5 2 2" xfId="47864" xr:uid="{00000000-0005-0000-0000-0000A1BB0000}"/>
    <cellStyle name="SAPBEXHLevel1 5 2 2 2" xfId="47865" xr:uid="{00000000-0005-0000-0000-0000A2BB0000}"/>
    <cellStyle name="SAPBEXHLevel1 5 2 3" xfId="47866" xr:uid="{00000000-0005-0000-0000-0000A3BB0000}"/>
    <cellStyle name="SAPBEXHLevel1 5 3" xfId="47867" xr:uid="{00000000-0005-0000-0000-0000A4BB0000}"/>
    <cellStyle name="SAPBEXHLevel1 5 3 2" xfId="47868" xr:uid="{00000000-0005-0000-0000-0000A5BB0000}"/>
    <cellStyle name="SAPBEXHLevel1 5 3 2 2" xfId="47869" xr:uid="{00000000-0005-0000-0000-0000A6BB0000}"/>
    <cellStyle name="SAPBEXHLevel1 5 3 3" xfId="47870" xr:uid="{00000000-0005-0000-0000-0000A7BB0000}"/>
    <cellStyle name="SAPBEXHLevel1 5 4" xfId="47871" xr:uid="{00000000-0005-0000-0000-0000A8BB0000}"/>
    <cellStyle name="SAPBEXHLevel1 5 4 2" xfId="47872" xr:uid="{00000000-0005-0000-0000-0000A9BB0000}"/>
    <cellStyle name="SAPBEXHLevel1 5 4 2 2" xfId="47873" xr:uid="{00000000-0005-0000-0000-0000AABB0000}"/>
    <cellStyle name="SAPBEXHLevel1 5 4 3" xfId="47874" xr:uid="{00000000-0005-0000-0000-0000ABBB0000}"/>
    <cellStyle name="SAPBEXHLevel1 5 5" xfId="47875" xr:uid="{00000000-0005-0000-0000-0000ACBB0000}"/>
    <cellStyle name="SAPBEXHLevel1 5 5 2" xfId="47876" xr:uid="{00000000-0005-0000-0000-0000ADBB0000}"/>
    <cellStyle name="SAPBEXHLevel1 5 6" xfId="47877" xr:uid="{00000000-0005-0000-0000-0000AEBB0000}"/>
    <cellStyle name="SAPBEXHLevel1 6" xfId="47878" xr:uid="{00000000-0005-0000-0000-0000AFBB0000}"/>
    <cellStyle name="SAPBEXHLevel1 6 2" xfId="47879" xr:uid="{00000000-0005-0000-0000-0000B0BB0000}"/>
    <cellStyle name="SAPBEXHLevel1 6 2 2" xfId="47880" xr:uid="{00000000-0005-0000-0000-0000B1BB0000}"/>
    <cellStyle name="SAPBEXHLevel1 6 3" xfId="47881" xr:uid="{00000000-0005-0000-0000-0000B2BB0000}"/>
    <cellStyle name="SAPBEXHLevel1 6 3 2" xfId="47882" xr:uid="{00000000-0005-0000-0000-0000B3BB0000}"/>
    <cellStyle name="SAPBEXHLevel1 6 3 2 2" xfId="47883" xr:uid="{00000000-0005-0000-0000-0000B4BB0000}"/>
    <cellStyle name="SAPBEXHLevel1 6 3 3" xfId="47884" xr:uid="{00000000-0005-0000-0000-0000B5BB0000}"/>
    <cellStyle name="SAPBEXHLevel1 6 4" xfId="47885" xr:uid="{00000000-0005-0000-0000-0000B6BB0000}"/>
    <cellStyle name="SAPBEXHLevel1 6 4 2" xfId="47886" xr:uid="{00000000-0005-0000-0000-0000B7BB0000}"/>
    <cellStyle name="SAPBEXHLevel1 6 4 2 2" xfId="47887" xr:uid="{00000000-0005-0000-0000-0000B8BB0000}"/>
    <cellStyle name="SAPBEXHLevel1 6 4 3" xfId="47888" xr:uid="{00000000-0005-0000-0000-0000B9BB0000}"/>
    <cellStyle name="SAPBEXHLevel1 6 5" xfId="47889" xr:uid="{00000000-0005-0000-0000-0000BABB0000}"/>
    <cellStyle name="SAPBEXHLevel1 7" xfId="47890" xr:uid="{00000000-0005-0000-0000-0000BBBB0000}"/>
    <cellStyle name="SAPBEXHLevel1 7 2" xfId="47891" xr:uid="{00000000-0005-0000-0000-0000BCBB0000}"/>
    <cellStyle name="SAPBEXHLevel1 7 2 2" xfId="47892" xr:uid="{00000000-0005-0000-0000-0000BDBB0000}"/>
    <cellStyle name="SAPBEXHLevel1 7 2 2 2" xfId="47893" xr:uid="{00000000-0005-0000-0000-0000BEBB0000}"/>
    <cellStyle name="SAPBEXHLevel1 7 2 3" xfId="47894" xr:uid="{00000000-0005-0000-0000-0000BFBB0000}"/>
    <cellStyle name="SAPBEXHLevel1 7 2 3 2" xfId="47895" xr:uid="{00000000-0005-0000-0000-0000C0BB0000}"/>
    <cellStyle name="SAPBEXHLevel1 7 2 3 2 2" xfId="47896" xr:uid="{00000000-0005-0000-0000-0000C1BB0000}"/>
    <cellStyle name="SAPBEXHLevel1 7 2 3 3" xfId="47897" xr:uid="{00000000-0005-0000-0000-0000C2BB0000}"/>
    <cellStyle name="SAPBEXHLevel1 7 2 4" xfId="47898" xr:uid="{00000000-0005-0000-0000-0000C3BB0000}"/>
    <cellStyle name="SAPBEXHLevel1 7 3" xfId="47899" xr:uid="{00000000-0005-0000-0000-0000C4BB0000}"/>
    <cellStyle name="SAPBEXHLevel1 7 3 2" xfId="47900" xr:uid="{00000000-0005-0000-0000-0000C5BB0000}"/>
    <cellStyle name="SAPBEXHLevel1 7 3 2 2" xfId="47901" xr:uid="{00000000-0005-0000-0000-0000C6BB0000}"/>
    <cellStyle name="SAPBEXHLevel1 7 3 3" xfId="47902" xr:uid="{00000000-0005-0000-0000-0000C7BB0000}"/>
    <cellStyle name="SAPBEXHLevel1 7 4" xfId="47903" xr:uid="{00000000-0005-0000-0000-0000C8BB0000}"/>
    <cellStyle name="SAPBEXHLevel1 7 4 2" xfId="47904" xr:uid="{00000000-0005-0000-0000-0000C9BB0000}"/>
    <cellStyle name="SAPBEXHLevel1 7 4 2 2" xfId="47905" xr:uid="{00000000-0005-0000-0000-0000CABB0000}"/>
    <cellStyle name="SAPBEXHLevel1 7 4 3" xfId="47906" xr:uid="{00000000-0005-0000-0000-0000CBBB0000}"/>
    <cellStyle name="SAPBEXHLevel1 7 5" xfId="47907" xr:uid="{00000000-0005-0000-0000-0000CCBB0000}"/>
    <cellStyle name="SAPBEXHLevel1 7 5 2" xfId="47908" xr:uid="{00000000-0005-0000-0000-0000CDBB0000}"/>
    <cellStyle name="SAPBEXHLevel1 7 5 2 2" xfId="47909" xr:uid="{00000000-0005-0000-0000-0000CEBB0000}"/>
    <cellStyle name="SAPBEXHLevel1 7 5 3" xfId="47910" xr:uid="{00000000-0005-0000-0000-0000CFBB0000}"/>
    <cellStyle name="SAPBEXHLevel1 7 6" xfId="47911" xr:uid="{00000000-0005-0000-0000-0000D0BB0000}"/>
    <cellStyle name="SAPBEXHLevel1 8" xfId="47912" xr:uid="{00000000-0005-0000-0000-0000D1BB0000}"/>
    <cellStyle name="SAPBEXHLevel1 8 2" xfId="47913" xr:uid="{00000000-0005-0000-0000-0000D2BB0000}"/>
    <cellStyle name="SAPBEXHLevel1 8 2 2" xfId="47914" xr:uid="{00000000-0005-0000-0000-0000D3BB0000}"/>
    <cellStyle name="SAPBEXHLevel1 8 3" xfId="47915" xr:uid="{00000000-0005-0000-0000-0000D4BB0000}"/>
    <cellStyle name="SAPBEXHLevel1 9" xfId="47916" xr:uid="{00000000-0005-0000-0000-0000D5BB0000}"/>
    <cellStyle name="SAPBEXHLevel1 9 2" xfId="47917" xr:uid="{00000000-0005-0000-0000-0000D6BB0000}"/>
    <cellStyle name="SAPBEXHLevel1 9 2 2" xfId="47918" xr:uid="{00000000-0005-0000-0000-0000D7BB0000}"/>
    <cellStyle name="SAPBEXHLevel1 9 3" xfId="47919" xr:uid="{00000000-0005-0000-0000-0000D8BB0000}"/>
    <cellStyle name="SAPBEXHLevel1X" xfId="63" xr:uid="{00000000-0005-0000-0000-0000D9BB0000}"/>
    <cellStyle name="SAPBEXHLevel1X 10" xfId="47920" xr:uid="{00000000-0005-0000-0000-0000DABB0000}"/>
    <cellStyle name="SAPBEXHLevel1X 10 2" xfId="47921" xr:uid="{00000000-0005-0000-0000-0000DBBB0000}"/>
    <cellStyle name="SAPBEXHLevel1X 10 2 2" xfId="47922" xr:uid="{00000000-0005-0000-0000-0000DCBB0000}"/>
    <cellStyle name="SAPBEXHLevel1X 10 3" xfId="47923" xr:uid="{00000000-0005-0000-0000-0000DDBB0000}"/>
    <cellStyle name="SAPBEXHLevel1X 11" xfId="47924" xr:uid="{00000000-0005-0000-0000-0000DEBB0000}"/>
    <cellStyle name="SAPBEXHLevel1X 11 2" xfId="47925" xr:uid="{00000000-0005-0000-0000-0000DFBB0000}"/>
    <cellStyle name="SAPBEXHLevel1X 11 2 2" xfId="47926" xr:uid="{00000000-0005-0000-0000-0000E0BB0000}"/>
    <cellStyle name="SAPBEXHLevel1X 11 3" xfId="47927" xr:uid="{00000000-0005-0000-0000-0000E1BB0000}"/>
    <cellStyle name="SAPBEXHLevel1X 12" xfId="47928" xr:uid="{00000000-0005-0000-0000-0000E2BB0000}"/>
    <cellStyle name="SAPBEXHLevel1X 12 2" xfId="47929" xr:uid="{00000000-0005-0000-0000-0000E3BB0000}"/>
    <cellStyle name="SAPBEXHLevel1X 12 2 2" xfId="47930" xr:uid="{00000000-0005-0000-0000-0000E4BB0000}"/>
    <cellStyle name="SAPBEXHLevel1X 12 3" xfId="47931" xr:uid="{00000000-0005-0000-0000-0000E5BB0000}"/>
    <cellStyle name="SAPBEXHLevel1X 13" xfId="47932" xr:uid="{00000000-0005-0000-0000-0000E6BB0000}"/>
    <cellStyle name="SAPBEXHLevel1X 13 2" xfId="47933" xr:uid="{00000000-0005-0000-0000-0000E7BB0000}"/>
    <cellStyle name="SAPBEXHLevel1X 13 2 2" xfId="47934" xr:uid="{00000000-0005-0000-0000-0000E8BB0000}"/>
    <cellStyle name="SAPBEXHLevel1X 13 3" xfId="47935" xr:uid="{00000000-0005-0000-0000-0000E9BB0000}"/>
    <cellStyle name="SAPBEXHLevel1X 14" xfId="47936" xr:uid="{00000000-0005-0000-0000-0000EABB0000}"/>
    <cellStyle name="SAPBEXHLevel1X 14 2" xfId="47937" xr:uid="{00000000-0005-0000-0000-0000EBBB0000}"/>
    <cellStyle name="SAPBEXHLevel1X 15" xfId="47938" xr:uid="{00000000-0005-0000-0000-0000ECBB0000}"/>
    <cellStyle name="SAPBEXHLevel1X 15 2" xfId="47939" xr:uid="{00000000-0005-0000-0000-0000EDBB0000}"/>
    <cellStyle name="SAPBEXHLevel1X 15 2 2" xfId="47940" xr:uid="{00000000-0005-0000-0000-0000EEBB0000}"/>
    <cellStyle name="SAPBEXHLevel1X 15 3" xfId="47941" xr:uid="{00000000-0005-0000-0000-0000EFBB0000}"/>
    <cellStyle name="SAPBEXHLevel1X 15 3 2" xfId="47942" xr:uid="{00000000-0005-0000-0000-0000F0BB0000}"/>
    <cellStyle name="SAPBEXHLevel1X 15 4" xfId="47943" xr:uid="{00000000-0005-0000-0000-0000F1BB0000}"/>
    <cellStyle name="SAPBEXHLevel1X 16" xfId="47944" xr:uid="{00000000-0005-0000-0000-0000F2BB0000}"/>
    <cellStyle name="SAPBEXHLevel1X 16 2" xfId="47945" xr:uid="{00000000-0005-0000-0000-0000F3BB0000}"/>
    <cellStyle name="SAPBEXHLevel1X 17" xfId="47946" xr:uid="{00000000-0005-0000-0000-0000F4BB0000}"/>
    <cellStyle name="SAPBEXHLevel1X 17 2" xfId="47947" xr:uid="{00000000-0005-0000-0000-0000F5BB0000}"/>
    <cellStyle name="SAPBEXHLevel1X 17 3" xfId="47948" xr:uid="{00000000-0005-0000-0000-0000F6BB0000}"/>
    <cellStyle name="SAPBEXHLevel1X 18" xfId="47949" xr:uid="{00000000-0005-0000-0000-0000F7BB0000}"/>
    <cellStyle name="SAPBEXHLevel1X 18 2" xfId="47950" xr:uid="{00000000-0005-0000-0000-0000F8BB0000}"/>
    <cellStyle name="SAPBEXHLevel1X 19" xfId="47951" xr:uid="{00000000-0005-0000-0000-0000F9BB0000}"/>
    <cellStyle name="SAPBEXHLevel1X 19 2" xfId="47952" xr:uid="{00000000-0005-0000-0000-0000FABB0000}"/>
    <cellStyle name="SAPBEXHLevel1X 2" xfId="87" xr:uid="{00000000-0005-0000-0000-0000FBBB0000}"/>
    <cellStyle name="SAPBEXHLevel1X 2 2" xfId="47953" xr:uid="{00000000-0005-0000-0000-0000FCBB0000}"/>
    <cellStyle name="SAPBEXHLevel1X 2 2 2" xfId="47954" xr:uid="{00000000-0005-0000-0000-0000FDBB0000}"/>
    <cellStyle name="SAPBEXHLevel1X 2 2 2 2" xfId="47955" xr:uid="{00000000-0005-0000-0000-0000FEBB0000}"/>
    <cellStyle name="SAPBEXHLevel1X 2 2 2 2 2" xfId="47956" xr:uid="{00000000-0005-0000-0000-0000FFBB0000}"/>
    <cellStyle name="SAPBEXHLevel1X 2 2 2 3" xfId="47957" xr:uid="{00000000-0005-0000-0000-000000BC0000}"/>
    <cellStyle name="SAPBEXHLevel1X 2 2 3" xfId="47958" xr:uid="{00000000-0005-0000-0000-000001BC0000}"/>
    <cellStyle name="SAPBEXHLevel1X 2 2 3 2" xfId="47959" xr:uid="{00000000-0005-0000-0000-000002BC0000}"/>
    <cellStyle name="SAPBEXHLevel1X 2 2 3 2 2" xfId="47960" xr:uid="{00000000-0005-0000-0000-000003BC0000}"/>
    <cellStyle name="SAPBEXHLevel1X 2 2 3 3" xfId="47961" xr:uid="{00000000-0005-0000-0000-000004BC0000}"/>
    <cellStyle name="SAPBEXHLevel1X 2 2 4" xfId="47962" xr:uid="{00000000-0005-0000-0000-000005BC0000}"/>
    <cellStyle name="SAPBEXHLevel1X 2 2 4 2" xfId="47963" xr:uid="{00000000-0005-0000-0000-000006BC0000}"/>
    <cellStyle name="SAPBEXHLevel1X 2 2 4 2 2" xfId="47964" xr:uid="{00000000-0005-0000-0000-000007BC0000}"/>
    <cellStyle name="SAPBEXHLevel1X 2 2 4 3" xfId="47965" xr:uid="{00000000-0005-0000-0000-000008BC0000}"/>
    <cellStyle name="SAPBEXHLevel1X 2 2 5" xfId="47966" xr:uid="{00000000-0005-0000-0000-000009BC0000}"/>
    <cellStyle name="SAPBEXHLevel1X 2 2 5 2" xfId="47967" xr:uid="{00000000-0005-0000-0000-00000ABC0000}"/>
    <cellStyle name="SAPBEXHLevel1X 2 2 6" xfId="47968" xr:uid="{00000000-0005-0000-0000-00000BBC0000}"/>
    <cellStyle name="SAPBEXHLevel1X 2 3" xfId="47969" xr:uid="{00000000-0005-0000-0000-00000CBC0000}"/>
    <cellStyle name="SAPBEXHLevel1X 2 3 2" xfId="47970" xr:uid="{00000000-0005-0000-0000-00000DBC0000}"/>
    <cellStyle name="SAPBEXHLevel1X 2 3 2 2" xfId="47971" xr:uid="{00000000-0005-0000-0000-00000EBC0000}"/>
    <cellStyle name="SAPBEXHLevel1X 2 3 2 2 2" xfId="47972" xr:uid="{00000000-0005-0000-0000-00000FBC0000}"/>
    <cellStyle name="SAPBEXHLevel1X 2 3 2 2 2 2" xfId="47973" xr:uid="{00000000-0005-0000-0000-000010BC0000}"/>
    <cellStyle name="SAPBEXHLevel1X 2 3 2 2 3" xfId="47974" xr:uid="{00000000-0005-0000-0000-000011BC0000}"/>
    <cellStyle name="SAPBEXHLevel1X 2 3 2 3" xfId="47975" xr:uid="{00000000-0005-0000-0000-000012BC0000}"/>
    <cellStyle name="SAPBEXHLevel1X 2 3 2 3 2" xfId="47976" xr:uid="{00000000-0005-0000-0000-000013BC0000}"/>
    <cellStyle name="SAPBEXHLevel1X 2 3 2 3 2 2" xfId="47977" xr:uid="{00000000-0005-0000-0000-000014BC0000}"/>
    <cellStyle name="SAPBEXHLevel1X 2 3 2 3 3" xfId="47978" xr:uid="{00000000-0005-0000-0000-000015BC0000}"/>
    <cellStyle name="SAPBEXHLevel1X 2 3 2 4" xfId="47979" xr:uid="{00000000-0005-0000-0000-000016BC0000}"/>
    <cellStyle name="SAPBEXHLevel1X 2 3 2 4 2" xfId="47980" xr:uid="{00000000-0005-0000-0000-000017BC0000}"/>
    <cellStyle name="SAPBEXHLevel1X 2 3 2 5" xfId="47981" xr:uid="{00000000-0005-0000-0000-000018BC0000}"/>
    <cellStyle name="SAPBEXHLevel1X 2 3 3" xfId="47982" xr:uid="{00000000-0005-0000-0000-000019BC0000}"/>
    <cellStyle name="SAPBEXHLevel1X 2 3 3 2" xfId="47983" xr:uid="{00000000-0005-0000-0000-00001ABC0000}"/>
    <cellStyle name="SAPBEXHLevel1X 2 3 3 2 2" xfId="47984" xr:uid="{00000000-0005-0000-0000-00001BBC0000}"/>
    <cellStyle name="SAPBEXHLevel1X 2 3 3 2 2 2" xfId="47985" xr:uid="{00000000-0005-0000-0000-00001CBC0000}"/>
    <cellStyle name="SAPBEXHLevel1X 2 3 3 2 3" xfId="47986" xr:uid="{00000000-0005-0000-0000-00001DBC0000}"/>
    <cellStyle name="SAPBEXHLevel1X 2 3 3 3" xfId="47987" xr:uid="{00000000-0005-0000-0000-00001EBC0000}"/>
    <cellStyle name="SAPBEXHLevel1X 2 3 3 3 2" xfId="47988" xr:uid="{00000000-0005-0000-0000-00001FBC0000}"/>
    <cellStyle name="SAPBEXHLevel1X 2 3 3 4" xfId="47989" xr:uid="{00000000-0005-0000-0000-000020BC0000}"/>
    <cellStyle name="SAPBEXHLevel1X 2 3 4" xfId="47990" xr:uid="{00000000-0005-0000-0000-000021BC0000}"/>
    <cellStyle name="SAPBEXHLevel1X 2 3 4 2" xfId="47991" xr:uid="{00000000-0005-0000-0000-000022BC0000}"/>
    <cellStyle name="SAPBEXHLevel1X 2 3 4 2 2" xfId="47992" xr:uid="{00000000-0005-0000-0000-000023BC0000}"/>
    <cellStyle name="SAPBEXHLevel1X 2 3 4 3" xfId="47993" xr:uid="{00000000-0005-0000-0000-000024BC0000}"/>
    <cellStyle name="SAPBEXHLevel1X 2 3 5" xfId="47994" xr:uid="{00000000-0005-0000-0000-000025BC0000}"/>
    <cellStyle name="SAPBEXHLevel1X 2 3 5 2" xfId="47995" xr:uid="{00000000-0005-0000-0000-000026BC0000}"/>
    <cellStyle name="SAPBEXHLevel1X 2 3 5 2 2" xfId="47996" xr:uid="{00000000-0005-0000-0000-000027BC0000}"/>
    <cellStyle name="SAPBEXHLevel1X 2 3 5 3" xfId="47997" xr:uid="{00000000-0005-0000-0000-000028BC0000}"/>
    <cellStyle name="SAPBEXHLevel1X 2 3 6" xfId="47998" xr:uid="{00000000-0005-0000-0000-000029BC0000}"/>
    <cellStyle name="SAPBEXHLevel1X 2 3 6 2" xfId="47999" xr:uid="{00000000-0005-0000-0000-00002ABC0000}"/>
    <cellStyle name="SAPBEXHLevel1X 2 3 7" xfId="48000" xr:uid="{00000000-0005-0000-0000-00002BBC0000}"/>
    <cellStyle name="SAPBEXHLevel1X 2 4" xfId="48001" xr:uid="{00000000-0005-0000-0000-00002CBC0000}"/>
    <cellStyle name="SAPBEXHLevel1X 2 4 2" xfId="48002" xr:uid="{00000000-0005-0000-0000-00002DBC0000}"/>
    <cellStyle name="SAPBEXHLevel1X 2 4 2 2" xfId="48003" xr:uid="{00000000-0005-0000-0000-00002EBC0000}"/>
    <cellStyle name="SAPBEXHLevel1X 2 4 2 2 2" xfId="48004" xr:uid="{00000000-0005-0000-0000-00002FBC0000}"/>
    <cellStyle name="SAPBEXHLevel1X 2 4 2 2 2 2" xfId="48005" xr:uid="{00000000-0005-0000-0000-000030BC0000}"/>
    <cellStyle name="SAPBEXHLevel1X 2 4 2 2 3" xfId="48006" xr:uid="{00000000-0005-0000-0000-000031BC0000}"/>
    <cellStyle name="SAPBEXHLevel1X 2 4 2 3" xfId="48007" xr:uid="{00000000-0005-0000-0000-000032BC0000}"/>
    <cellStyle name="SAPBEXHLevel1X 2 4 2 3 2" xfId="48008" xr:uid="{00000000-0005-0000-0000-000033BC0000}"/>
    <cellStyle name="SAPBEXHLevel1X 2 4 2 3 2 2" xfId="48009" xr:uid="{00000000-0005-0000-0000-000034BC0000}"/>
    <cellStyle name="SAPBEXHLevel1X 2 4 2 3 3" xfId="48010" xr:uid="{00000000-0005-0000-0000-000035BC0000}"/>
    <cellStyle name="SAPBEXHLevel1X 2 4 2 4" xfId="48011" xr:uid="{00000000-0005-0000-0000-000036BC0000}"/>
    <cellStyle name="SAPBEXHLevel1X 2 4 2 4 2" xfId="48012" xr:uid="{00000000-0005-0000-0000-000037BC0000}"/>
    <cellStyle name="SAPBEXHLevel1X 2 4 2 5" xfId="48013" xr:uid="{00000000-0005-0000-0000-000038BC0000}"/>
    <cellStyle name="SAPBEXHLevel1X 2 4 3" xfId="48014" xr:uid="{00000000-0005-0000-0000-000039BC0000}"/>
    <cellStyle name="SAPBEXHLevel1X 2 4 3 2" xfId="48015" xr:uid="{00000000-0005-0000-0000-00003ABC0000}"/>
    <cellStyle name="SAPBEXHLevel1X 2 4 3 2 2" xfId="48016" xr:uid="{00000000-0005-0000-0000-00003BBC0000}"/>
    <cellStyle name="SAPBEXHLevel1X 2 4 3 2 2 2" xfId="48017" xr:uid="{00000000-0005-0000-0000-00003CBC0000}"/>
    <cellStyle name="SAPBEXHLevel1X 2 4 3 2 3" xfId="48018" xr:uid="{00000000-0005-0000-0000-00003DBC0000}"/>
    <cellStyle name="SAPBEXHLevel1X 2 4 3 3" xfId="48019" xr:uid="{00000000-0005-0000-0000-00003EBC0000}"/>
    <cellStyle name="SAPBEXHLevel1X 2 4 3 3 2" xfId="48020" xr:uid="{00000000-0005-0000-0000-00003FBC0000}"/>
    <cellStyle name="SAPBEXHLevel1X 2 4 3 4" xfId="48021" xr:uid="{00000000-0005-0000-0000-000040BC0000}"/>
    <cellStyle name="SAPBEXHLevel1X 2 4 4" xfId="48022" xr:uid="{00000000-0005-0000-0000-000041BC0000}"/>
    <cellStyle name="SAPBEXHLevel1X 2 4 4 2" xfId="48023" xr:uid="{00000000-0005-0000-0000-000042BC0000}"/>
    <cellStyle name="SAPBEXHLevel1X 2 4 4 2 2" xfId="48024" xr:uid="{00000000-0005-0000-0000-000043BC0000}"/>
    <cellStyle name="SAPBEXHLevel1X 2 4 4 3" xfId="48025" xr:uid="{00000000-0005-0000-0000-000044BC0000}"/>
    <cellStyle name="SAPBEXHLevel1X 2 4 5" xfId="48026" xr:uid="{00000000-0005-0000-0000-000045BC0000}"/>
    <cellStyle name="SAPBEXHLevel1X 2 4 5 2" xfId="48027" xr:uid="{00000000-0005-0000-0000-000046BC0000}"/>
    <cellStyle name="SAPBEXHLevel1X 2 4 6" xfId="48028" xr:uid="{00000000-0005-0000-0000-000047BC0000}"/>
    <cellStyle name="SAPBEXHLevel1X 2 5" xfId="48029" xr:uid="{00000000-0005-0000-0000-000048BC0000}"/>
    <cellStyle name="SAPBEXHLevel1X 2 5 2" xfId="48030" xr:uid="{00000000-0005-0000-0000-000049BC0000}"/>
    <cellStyle name="SAPBEXHLevel1X 2 5 2 2" xfId="48031" xr:uid="{00000000-0005-0000-0000-00004ABC0000}"/>
    <cellStyle name="SAPBEXHLevel1X 2 5 2 2 2" xfId="48032" xr:uid="{00000000-0005-0000-0000-00004BBC0000}"/>
    <cellStyle name="SAPBEXHLevel1X 2 5 2 3" xfId="48033" xr:uid="{00000000-0005-0000-0000-00004CBC0000}"/>
    <cellStyle name="SAPBEXHLevel1X 2 5 3" xfId="48034" xr:uid="{00000000-0005-0000-0000-00004DBC0000}"/>
    <cellStyle name="SAPBEXHLevel1X 2 5 3 2" xfId="48035" xr:uid="{00000000-0005-0000-0000-00004EBC0000}"/>
    <cellStyle name="SAPBEXHLevel1X 2 5 4" xfId="48036" xr:uid="{00000000-0005-0000-0000-00004FBC0000}"/>
    <cellStyle name="SAPBEXHLevel1X 2 6" xfId="48037" xr:uid="{00000000-0005-0000-0000-000050BC0000}"/>
    <cellStyle name="SAPBEXHLevel1X 2 6 2" xfId="48038" xr:uid="{00000000-0005-0000-0000-000051BC0000}"/>
    <cellStyle name="SAPBEXHLevel1X 2 6 2 2" xfId="48039" xr:uid="{00000000-0005-0000-0000-000052BC0000}"/>
    <cellStyle name="SAPBEXHLevel1X 2 6 3" xfId="48040" xr:uid="{00000000-0005-0000-0000-000053BC0000}"/>
    <cellStyle name="SAPBEXHLevel1X 2 7" xfId="48041" xr:uid="{00000000-0005-0000-0000-000054BC0000}"/>
    <cellStyle name="SAPBEXHLevel1X 2 7 2" xfId="48042" xr:uid="{00000000-0005-0000-0000-000055BC0000}"/>
    <cellStyle name="SAPBEXHLevel1X 2 7 2 2" xfId="48043" xr:uid="{00000000-0005-0000-0000-000056BC0000}"/>
    <cellStyle name="SAPBEXHLevel1X 2 7 3" xfId="48044" xr:uid="{00000000-0005-0000-0000-000057BC0000}"/>
    <cellStyle name="SAPBEXHLevel1X 2 8" xfId="48045" xr:uid="{00000000-0005-0000-0000-000058BC0000}"/>
    <cellStyle name="SAPBEXHLevel1X 2 8 2" xfId="48046" xr:uid="{00000000-0005-0000-0000-000059BC0000}"/>
    <cellStyle name="SAPBEXHLevel1X 2 9" xfId="48047" xr:uid="{00000000-0005-0000-0000-00005ABC0000}"/>
    <cellStyle name="SAPBEXHLevel1X 20" xfId="48048" xr:uid="{00000000-0005-0000-0000-00005BBC0000}"/>
    <cellStyle name="SAPBEXHLevel1X 21" xfId="48049" xr:uid="{00000000-0005-0000-0000-00005CBC0000}"/>
    <cellStyle name="SAPBEXHLevel1X 22" xfId="48050" xr:uid="{00000000-0005-0000-0000-00005DBC0000}"/>
    <cellStyle name="SAPBEXHLevel1X 23" xfId="48051" xr:uid="{00000000-0005-0000-0000-00005EBC0000}"/>
    <cellStyle name="SAPBEXHLevel1X 3" xfId="48052" xr:uid="{00000000-0005-0000-0000-00005FBC0000}"/>
    <cellStyle name="SAPBEXHLevel1X 3 2" xfId="48053" xr:uid="{00000000-0005-0000-0000-000060BC0000}"/>
    <cellStyle name="SAPBEXHLevel1X 3 2 2" xfId="48054" xr:uid="{00000000-0005-0000-0000-000061BC0000}"/>
    <cellStyle name="SAPBEXHLevel1X 3 2 2 2" xfId="48055" xr:uid="{00000000-0005-0000-0000-000062BC0000}"/>
    <cellStyle name="SAPBEXHLevel1X 3 2 2 2 2" xfId="48056" xr:uid="{00000000-0005-0000-0000-000063BC0000}"/>
    <cellStyle name="SAPBEXHLevel1X 3 2 2 3" xfId="48057" xr:uid="{00000000-0005-0000-0000-000064BC0000}"/>
    <cellStyle name="SAPBEXHLevel1X 3 2 3" xfId="48058" xr:uid="{00000000-0005-0000-0000-000065BC0000}"/>
    <cellStyle name="SAPBEXHLevel1X 3 2 3 2" xfId="48059" xr:uid="{00000000-0005-0000-0000-000066BC0000}"/>
    <cellStyle name="SAPBEXHLevel1X 3 2 3 2 2" xfId="48060" xr:uid="{00000000-0005-0000-0000-000067BC0000}"/>
    <cellStyle name="SAPBEXHLevel1X 3 2 3 3" xfId="48061" xr:uid="{00000000-0005-0000-0000-000068BC0000}"/>
    <cellStyle name="SAPBEXHLevel1X 3 2 4" xfId="48062" xr:uid="{00000000-0005-0000-0000-000069BC0000}"/>
    <cellStyle name="SAPBEXHLevel1X 3 2 4 2" xfId="48063" xr:uid="{00000000-0005-0000-0000-00006ABC0000}"/>
    <cellStyle name="SAPBEXHLevel1X 3 2 4 2 2" xfId="48064" xr:uid="{00000000-0005-0000-0000-00006BBC0000}"/>
    <cellStyle name="SAPBEXHLevel1X 3 2 4 3" xfId="48065" xr:uid="{00000000-0005-0000-0000-00006CBC0000}"/>
    <cellStyle name="SAPBEXHLevel1X 3 2 5" xfId="48066" xr:uid="{00000000-0005-0000-0000-00006DBC0000}"/>
    <cellStyle name="SAPBEXHLevel1X 3 2 5 2" xfId="48067" xr:uid="{00000000-0005-0000-0000-00006EBC0000}"/>
    <cellStyle name="SAPBEXHLevel1X 3 2 6" xfId="48068" xr:uid="{00000000-0005-0000-0000-00006FBC0000}"/>
    <cellStyle name="SAPBEXHLevel1X 3 3" xfId="48069" xr:uid="{00000000-0005-0000-0000-000070BC0000}"/>
    <cellStyle name="SAPBEXHLevel1X 3 3 2" xfId="48070" xr:uid="{00000000-0005-0000-0000-000071BC0000}"/>
    <cellStyle name="SAPBEXHLevel1X 3 3 2 2" xfId="48071" xr:uid="{00000000-0005-0000-0000-000072BC0000}"/>
    <cellStyle name="SAPBEXHLevel1X 3 3 2 2 2" xfId="48072" xr:uid="{00000000-0005-0000-0000-000073BC0000}"/>
    <cellStyle name="SAPBEXHLevel1X 3 3 2 3" xfId="48073" xr:uid="{00000000-0005-0000-0000-000074BC0000}"/>
    <cellStyle name="SAPBEXHLevel1X 3 3 3" xfId="48074" xr:uid="{00000000-0005-0000-0000-000075BC0000}"/>
    <cellStyle name="SAPBEXHLevel1X 3 3 3 2" xfId="48075" xr:uid="{00000000-0005-0000-0000-000076BC0000}"/>
    <cellStyle name="SAPBEXHLevel1X 3 3 4" xfId="48076" xr:uid="{00000000-0005-0000-0000-000077BC0000}"/>
    <cellStyle name="SAPBEXHLevel1X 3 4" xfId="48077" xr:uid="{00000000-0005-0000-0000-000078BC0000}"/>
    <cellStyle name="SAPBEXHLevel1X 3 4 2" xfId="48078" xr:uid="{00000000-0005-0000-0000-000079BC0000}"/>
    <cellStyle name="SAPBEXHLevel1X 3 4 2 2" xfId="48079" xr:uid="{00000000-0005-0000-0000-00007ABC0000}"/>
    <cellStyle name="SAPBEXHLevel1X 3 4 3" xfId="48080" xr:uid="{00000000-0005-0000-0000-00007BBC0000}"/>
    <cellStyle name="SAPBEXHLevel1X 3 5" xfId="48081" xr:uid="{00000000-0005-0000-0000-00007CBC0000}"/>
    <cellStyle name="SAPBEXHLevel1X 3 5 2" xfId="48082" xr:uid="{00000000-0005-0000-0000-00007DBC0000}"/>
    <cellStyle name="SAPBEXHLevel1X 3 5 2 2" xfId="48083" xr:uid="{00000000-0005-0000-0000-00007EBC0000}"/>
    <cellStyle name="SAPBEXHLevel1X 3 5 3" xfId="48084" xr:uid="{00000000-0005-0000-0000-00007FBC0000}"/>
    <cellStyle name="SAPBEXHLevel1X 3 6" xfId="48085" xr:uid="{00000000-0005-0000-0000-000080BC0000}"/>
    <cellStyle name="SAPBEXHLevel1X 3 6 2" xfId="48086" xr:uid="{00000000-0005-0000-0000-000081BC0000}"/>
    <cellStyle name="SAPBEXHLevel1X 3 7" xfId="48087" xr:uid="{00000000-0005-0000-0000-000082BC0000}"/>
    <cellStyle name="SAPBEXHLevel1X 4" xfId="48088" xr:uid="{00000000-0005-0000-0000-000083BC0000}"/>
    <cellStyle name="SAPBEXHLevel1X 4 2" xfId="48089" xr:uid="{00000000-0005-0000-0000-000084BC0000}"/>
    <cellStyle name="SAPBEXHLevel1X 4 2 2" xfId="48090" xr:uid="{00000000-0005-0000-0000-000085BC0000}"/>
    <cellStyle name="SAPBEXHLevel1X 4 2 2 2" xfId="48091" xr:uid="{00000000-0005-0000-0000-000086BC0000}"/>
    <cellStyle name="SAPBEXHLevel1X 4 2 2 2 2" xfId="48092" xr:uid="{00000000-0005-0000-0000-000087BC0000}"/>
    <cellStyle name="SAPBEXHLevel1X 4 2 2 3" xfId="48093" xr:uid="{00000000-0005-0000-0000-000088BC0000}"/>
    <cellStyle name="SAPBEXHLevel1X 4 2 3" xfId="48094" xr:uid="{00000000-0005-0000-0000-000089BC0000}"/>
    <cellStyle name="SAPBEXHLevel1X 4 2 3 2" xfId="48095" xr:uid="{00000000-0005-0000-0000-00008ABC0000}"/>
    <cellStyle name="SAPBEXHLevel1X 4 2 3 2 2" xfId="48096" xr:uid="{00000000-0005-0000-0000-00008BBC0000}"/>
    <cellStyle name="SAPBEXHLevel1X 4 2 3 3" xfId="48097" xr:uid="{00000000-0005-0000-0000-00008CBC0000}"/>
    <cellStyle name="SAPBEXHLevel1X 4 2 4" xfId="48098" xr:uid="{00000000-0005-0000-0000-00008DBC0000}"/>
    <cellStyle name="SAPBEXHLevel1X 4 2 4 2" xfId="48099" xr:uid="{00000000-0005-0000-0000-00008EBC0000}"/>
    <cellStyle name="SAPBEXHLevel1X 4 2 4 2 2" xfId="48100" xr:uid="{00000000-0005-0000-0000-00008FBC0000}"/>
    <cellStyle name="SAPBEXHLevel1X 4 2 4 3" xfId="48101" xr:uid="{00000000-0005-0000-0000-000090BC0000}"/>
    <cellStyle name="SAPBEXHLevel1X 4 2 5" xfId="48102" xr:uid="{00000000-0005-0000-0000-000091BC0000}"/>
    <cellStyle name="SAPBEXHLevel1X 4 2 5 2" xfId="48103" xr:uid="{00000000-0005-0000-0000-000092BC0000}"/>
    <cellStyle name="SAPBEXHLevel1X 4 2 6" xfId="48104" xr:uid="{00000000-0005-0000-0000-000093BC0000}"/>
    <cellStyle name="SAPBEXHLevel1X 4 3" xfId="48105" xr:uid="{00000000-0005-0000-0000-000094BC0000}"/>
    <cellStyle name="SAPBEXHLevel1X 4 3 2" xfId="48106" xr:uid="{00000000-0005-0000-0000-000095BC0000}"/>
    <cellStyle name="SAPBEXHLevel1X 4 3 2 2" xfId="48107" xr:uid="{00000000-0005-0000-0000-000096BC0000}"/>
    <cellStyle name="SAPBEXHLevel1X 4 3 2 2 2" xfId="48108" xr:uid="{00000000-0005-0000-0000-000097BC0000}"/>
    <cellStyle name="SAPBEXHLevel1X 4 3 2 2 2 2" xfId="48109" xr:uid="{00000000-0005-0000-0000-000098BC0000}"/>
    <cellStyle name="SAPBEXHLevel1X 4 3 2 2 3" xfId="48110" xr:uid="{00000000-0005-0000-0000-000099BC0000}"/>
    <cellStyle name="SAPBEXHLevel1X 4 3 2 3" xfId="48111" xr:uid="{00000000-0005-0000-0000-00009ABC0000}"/>
    <cellStyle name="SAPBEXHLevel1X 4 3 2 3 2" xfId="48112" xr:uid="{00000000-0005-0000-0000-00009BBC0000}"/>
    <cellStyle name="SAPBEXHLevel1X 4 3 2 3 2 2" xfId="48113" xr:uid="{00000000-0005-0000-0000-00009CBC0000}"/>
    <cellStyle name="SAPBEXHLevel1X 4 3 2 3 3" xfId="48114" xr:uid="{00000000-0005-0000-0000-00009DBC0000}"/>
    <cellStyle name="SAPBEXHLevel1X 4 3 2 4" xfId="48115" xr:uid="{00000000-0005-0000-0000-00009EBC0000}"/>
    <cellStyle name="SAPBEXHLevel1X 4 3 2 4 2" xfId="48116" xr:uid="{00000000-0005-0000-0000-00009FBC0000}"/>
    <cellStyle name="SAPBEXHLevel1X 4 3 2 5" xfId="48117" xr:uid="{00000000-0005-0000-0000-0000A0BC0000}"/>
    <cellStyle name="SAPBEXHLevel1X 4 3 3" xfId="48118" xr:uid="{00000000-0005-0000-0000-0000A1BC0000}"/>
    <cellStyle name="SAPBEXHLevel1X 4 3 3 2" xfId="48119" xr:uid="{00000000-0005-0000-0000-0000A2BC0000}"/>
    <cellStyle name="SAPBEXHLevel1X 4 3 3 2 2" xfId="48120" xr:uid="{00000000-0005-0000-0000-0000A3BC0000}"/>
    <cellStyle name="SAPBEXHLevel1X 4 3 3 2 2 2" xfId="48121" xr:uid="{00000000-0005-0000-0000-0000A4BC0000}"/>
    <cellStyle name="SAPBEXHLevel1X 4 3 3 2 3" xfId="48122" xr:uid="{00000000-0005-0000-0000-0000A5BC0000}"/>
    <cellStyle name="SAPBEXHLevel1X 4 3 3 3" xfId="48123" xr:uid="{00000000-0005-0000-0000-0000A6BC0000}"/>
    <cellStyle name="SAPBEXHLevel1X 4 3 3 3 2" xfId="48124" xr:uid="{00000000-0005-0000-0000-0000A7BC0000}"/>
    <cellStyle name="SAPBEXHLevel1X 4 3 3 4" xfId="48125" xr:uid="{00000000-0005-0000-0000-0000A8BC0000}"/>
    <cellStyle name="SAPBEXHLevel1X 4 3 4" xfId="48126" xr:uid="{00000000-0005-0000-0000-0000A9BC0000}"/>
    <cellStyle name="SAPBEXHLevel1X 4 3 4 2" xfId="48127" xr:uid="{00000000-0005-0000-0000-0000AABC0000}"/>
    <cellStyle name="SAPBEXHLevel1X 4 3 4 2 2" xfId="48128" xr:uid="{00000000-0005-0000-0000-0000ABBC0000}"/>
    <cellStyle name="SAPBEXHLevel1X 4 3 4 3" xfId="48129" xr:uid="{00000000-0005-0000-0000-0000ACBC0000}"/>
    <cellStyle name="SAPBEXHLevel1X 4 3 5" xfId="48130" xr:uid="{00000000-0005-0000-0000-0000ADBC0000}"/>
    <cellStyle name="SAPBEXHLevel1X 4 3 5 2" xfId="48131" xr:uid="{00000000-0005-0000-0000-0000AEBC0000}"/>
    <cellStyle name="SAPBEXHLevel1X 4 3 5 2 2" xfId="48132" xr:uid="{00000000-0005-0000-0000-0000AFBC0000}"/>
    <cellStyle name="SAPBEXHLevel1X 4 3 5 3" xfId="48133" xr:uid="{00000000-0005-0000-0000-0000B0BC0000}"/>
    <cellStyle name="SAPBEXHLevel1X 4 3 6" xfId="48134" xr:uid="{00000000-0005-0000-0000-0000B1BC0000}"/>
    <cellStyle name="SAPBEXHLevel1X 4 3 6 2" xfId="48135" xr:uid="{00000000-0005-0000-0000-0000B2BC0000}"/>
    <cellStyle name="SAPBEXHLevel1X 4 3 7" xfId="48136" xr:uid="{00000000-0005-0000-0000-0000B3BC0000}"/>
    <cellStyle name="SAPBEXHLevel1X 4 4" xfId="48137" xr:uid="{00000000-0005-0000-0000-0000B4BC0000}"/>
    <cellStyle name="SAPBEXHLevel1X 4 4 2" xfId="48138" xr:uid="{00000000-0005-0000-0000-0000B5BC0000}"/>
    <cellStyle name="SAPBEXHLevel1X 4 4 2 2" xfId="48139" xr:uid="{00000000-0005-0000-0000-0000B6BC0000}"/>
    <cellStyle name="SAPBEXHLevel1X 4 4 2 2 2" xfId="48140" xr:uid="{00000000-0005-0000-0000-0000B7BC0000}"/>
    <cellStyle name="SAPBEXHLevel1X 4 4 2 3" xfId="48141" xr:uid="{00000000-0005-0000-0000-0000B8BC0000}"/>
    <cellStyle name="SAPBEXHLevel1X 4 4 3" xfId="48142" xr:uid="{00000000-0005-0000-0000-0000B9BC0000}"/>
    <cellStyle name="SAPBEXHLevel1X 4 4 3 2" xfId="48143" xr:uid="{00000000-0005-0000-0000-0000BABC0000}"/>
    <cellStyle name="SAPBEXHLevel1X 4 4 4" xfId="48144" xr:uid="{00000000-0005-0000-0000-0000BBBC0000}"/>
    <cellStyle name="SAPBEXHLevel1X 4 5" xfId="48145" xr:uid="{00000000-0005-0000-0000-0000BCBC0000}"/>
    <cellStyle name="SAPBEXHLevel1X 4 5 2" xfId="48146" xr:uid="{00000000-0005-0000-0000-0000BDBC0000}"/>
    <cellStyle name="SAPBEXHLevel1X 4 5 2 2" xfId="48147" xr:uid="{00000000-0005-0000-0000-0000BEBC0000}"/>
    <cellStyle name="SAPBEXHLevel1X 4 5 3" xfId="48148" xr:uid="{00000000-0005-0000-0000-0000BFBC0000}"/>
    <cellStyle name="SAPBEXHLevel1X 4 6" xfId="48149" xr:uid="{00000000-0005-0000-0000-0000C0BC0000}"/>
    <cellStyle name="SAPBEXHLevel1X 4 6 2" xfId="48150" xr:uid="{00000000-0005-0000-0000-0000C1BC0000}"/>
    <cellStyle name="SAPBEXHLevel1X 4 6 2 2" xfId="48151" xr:uid="{00000000-0005-0000-0000-0000C2BC0000}"/>
    <cellStyle name="SAPBEXHLevel1X 4 6 3" xfId="48152" xr:uid="{00000000-0005-0000-0000-0000C3BC0000}"/>
    <cellStyle name="SAPBEXHLevel1X 4 7" xfId="48153" xr:uid="{00000000-0005-0000-0000-0000C4BC0000}"/>
    <cellStyle name="SAPBEXHLevel1X 4 7 2" xfId="48154" xr:uid="{00000000-0005-0000-0000-0000C5BC0000}"/>
    <cellStyle name="SAPBEXHLevel1X 4 8" xfId="48155" xr:uid="{00000000-0005-0000-0000-0000C6BC0000}"/>
    <cellStyle name="SAPBEXHLevel1X 5" xfId="48156" xr:uid="{00000000-0005-0000-0000-0000C7BC0000}"/>
    <cellStyle name="SAPBEXHLevel1X 5 2" xfId="48157" xr:uid="{00000000-0005-0000-0000-0000C8BC0000}"/>
    <cellStyle name="SAPBEXHLevel1X 5 2 2" xfId="48158" xr:uid="{00000000-0005-0000-0000-0000C9BC0000}"/>
    <cellStyle name="SAPBEXHLevel1X 5 2 2 2" xfId="48159" xr:uid="{00000000-0005-0000-0000-0000CABC0000}"/>
    <cellStyle name="SAPBEXHLevel1X 5 2 3" xfId="48160" xr:uid="{00000000-0005-0000-0000-0000CBBC0000}"/>
    <cellStyle name="SAPBEXHLevel1X 5 3" xfId="48161" xr:uid="{00000000-0005-0000-0000-0000CCBC0000}"/>
    <cellStyle name="SAPBEXHLevel1X 5 3 2" xfId="48162" xr:uid="{00000000-0005-0000-0000-0000CDBC0000}"/>
    <cellStyle name="SAPBEXHLevel1X 5 3 2 2" xfId="48163" xr:uid="{00000000-0005-0000-0000-0000CEBC0000}"/>
    <cellStyle name="SAPBEXHLevel1X 5 3 3" xfId="48164" xr:uid="{00000000-0005-0000-0000-0000CFBC0000}"/>
    <cellStyle name="SAPBEXHLevel1X 5 4" xfId="48165" xr:uid="{00000000-0005-0000-0000-0000D0BC0000}"/>
    <cellStyle name="SAPBEXHLevel1X 5 4 2" xfId="48166" xr:uid="{00000000-0005-0000-0000-0000D1BC0000}"/>
    <cellStyle name="SAPBEXHLevel1X 5 4 2 2" xfId="48167" xr:uid="{00000000-0005-0000-0000-0000D2BC0000}"/>
    <cellStyle name="SAPBEXHLevel1X 5 4 3" xfId="48168" xr:uid="{00000000-0005-0000-0000-0000D3BC0000}"/>
    <cellStyle name="SAPBEXHLevel1X 5 5" xfId="48169" xr:uid="{00000000-0005-0000-0000-0000D4BC0000}"/>
    <cellStyle name="SAPBEXHLevel1X 5 5 2" xfId="48170" xr:uid="{00000000-0005-0000-0000-0000D5BC0000}"/>
    <cellStyle name="SAPBEXHLevel1X 5 6" xfId="48171" xr:uid="{00000000-0005-0000-0000-0000D6BC0000}"/>
    <cellStyle name="SAPBEXHLevel1X 6" xfId="48172" xr:uid="{00000000-0005-0000-0000-0000D7BC0000}"/>
    <cellStyle name="SAPBEXHLevel1X 6 2" xfId="48173" xr:uid="{00000000-0005-0000-0000-0000D8BC0000}"/>
    <cellStyle name="SAPBEXHLevel1X 6 2 2" xfId="48174" xr:uid="{00000000-0005-0000-0000-0000D9BC0000}"/>
    <cellStyle name="SAPBEXHLevel1X 6 3" xfId="48175" xr:uid="{00000000-0005-0000-0000-0000DABC0000}"/>
    <cellStyle name="SAPBEXHLevel1X 6 3 2" xfId="48176" xr:uid="{00000000-0005-0000-0000-0000DBBC0000}"/>
    <cellStyle name="SAPBEXHLevel1X 6 3 2 2" xfId="48177" xr:uid="{00000000-0005-0000-0000-0000DCBC0000}"/>
    <cellStyle name="SAPBEXHLevel1X 6 3 3" xfId="48178" xr:uid="{00000000-0005-0000-0000-0000DDBC0000}"/>
    <cellStyle name="SAPBEXHLevel1X 6 4" xfId="48179" xr:uid="{00000000-0005-0000-0000-0000DEBC0000}"/>
    <cellStyle name="SAPBEXHLevel1X 6 4 2" xfId="48180" xr:uid="{00000000-0005-0000-0000-0000DFBC0000}"/>
    <cellStyle name="SAPBEXHLevel1X 6 4 2 2" xfId="48181" xr:uid="{00000000-0005-0000-0000-0000E0BC0000}"/>
    <cellStyle name="SAPBEXHLevel1X 6 4 3" xfId="48182" xr:uid="{00000000-0005-0000-0000-0000E1BC0000}"/>
    <cellStyle name="SAPBEXHLevel1X 6 5" xfId="48183" xr:uid="{00000000-0005-0000-0000-0000E2BC0000}"/>
    <cellStyle name="SAPBEXHLevel1X 7" xfId="48184" xr:uid="{00000000-0005-0000-0000-0000E3BC0000}"/>
    <cellStyle name="SAPBEXHLevel1X 7 2" xfId="48185" xr:uid="{00000000-0005-0000-0000-0000E4BC0000}"/>
    <cellStyle name="SAPBEXHLevel1X 7 2 2" xfId="48186" xr:uid="{00000000-0005-0000-0000-0000E5BC0000}"/>
    <cellStyle name="SAPBEXHLevel1X 7 2 2 2" xfId="48187" xr:uid="{00000000-0005-0000-0000-0000E6BC0000}"/>
    <cellStyle name="SAPBEXHLevel1X 7 2 3" xfId="48188" xr:uid="{00000000-0005-0000-0000-0000E7BC0000}"/>
    <cellStyle name="SAPBEXHLevel1X 7 2 3 2" xfId="48189" xr:uid="{00000000-0005-0000-0000-0000E8BC0000}"/>
    <cellStyle name="SAPBEXHLevel1X 7 2 3 2 2" xfId="48190" xr:uid="{00000000-0005-0000-0000-0000E9BC0000}"/>
    <cellStyle name="SAPBEXHLevel1X 7 2 3 3" xfId="48191" xr:uid="{00000000-0005-0000-0000-0000EABC0000}"/>
    <cellStyle name="SAPBEXHLevel1X 7 2 4" xfId="48192" xr:uid="{00000000-0005-0000-0000-0000EBBC0000}"/>
    <cellStyle name="SAPBEXHLevel1X 7 3" xfId="48193" xr:uid="{00000000-0005-0000-0000-0000ECBC0000}"/>
    <cellStyle name="SAPBEXHLevel1X 7 3 2" xfId="48194" xr:uid="{00000000-0005-0000-0000-0000EDBC0000}"/>
    <cellStyle name="SAPBEXHLevel1X 7 3 2 2" xfId="48195" xr:uid="{00000000-0005-0000-0000-0000EEBC0000}"/>
    <cellStyle name="SAPBEXHLevel1X 7 3 3" xfId="48196" xr:uid="{00000000-0005-0000-0000-0000EFBC0000}"/>
    <cellStyle name="SAPBEXHLevel1X 7 4" xfId="48197" xr:uid="{00000000-0005-0000-0000-0000F0BC0000}"/>
    <cellStyle name="SAPBEXHLevel1X 7 4 2" xfId="48198" xr:uid="{00000000-0005-0000-0000-0000F1BC0000}"/>
    <cellStyle name="SAPBEXHLevel1X 7 4 2 2" xfId="48199" xr:uid="{00000000-0005-0000-0000-0000F2BC0000}"/>
    <cellStyle name="SAPBEXHLevel1X 7 4 3" xfId="48200" xr:uid="{00000000-0005-0000-0000-0000F3BC0000}"/>
    <cellStyle name="SAPBEXHLevel1X 7 5" xfId="48201" xr:uid="{00000000-0005-0000-0000-0000F4BC0000}"/>
    <cellStyle name="SAPBEXHLevel1X 7 5 2" xfId="48202" xr:uid="{00000000-0005-0000-0000-0000F5BC0000}"/>
    <cellStyle name="SAPBEXHLevel1X 7 5 2 2" xfId="48203" xr:uid="{00000000-0005-0000-0000-0000F6BC0000}"/>
    <cellStyle name="SAPBEXHLevel1X 7 5 3" xfId="48204" xr:uid="{00000000-0005-0000-0000-0000F7BC0000}"/>
    <cellStyle name="SAPBEXHLevel1X 7 6" xfId="48205" xr:uid="{00000000-0005-0000-0000-0000F8BC0000}"/>
    <cellStyle name="SAPBEXHLevel1X 8" xfId="48206" xr:uid="{00000000-0005-0000-0000-0000F9BC0000}"/>
    <cellStyle name="SAPBEXHLevel1X 8 2" xfId="48207" xr:uid="{00000000-0005-0000-0000-0000FABC0000}"/>
    <cellStyle name="SAPBEXHLevel1X 8 2 2" xfId="48208" xr:uid="{00000000-0005-0000-0000-0000FBBC0000}"/>
    <cellStyle name="SAPBEXHLevel1X 8 2 2 2" xfId="48209" xr:uid="{00000000-0005-0000-0000-0000FCBC0000}"/>
    <cellStyle name="SAPBEXHLevel1X 8 2 3" xfId="48210" xr:uid="{00000000-0005-0000-0000-0000FDBC0000}"/>
    <cellStyle name="SAPBEXHLevel1X 8 3" xfId="48211" xr:uid="{00000000-0005-0000-0000-0000FEBC0000}"/>
    <cellStyle name="SAPBEXHLevel1X 8 3 2" xfId="48212" xr:uid="{00000000-0005-0000-0000-0000FFBC0000}"/>
    <cellStyle name="SAPBEXHLevel1X 8 3 2 2" xfId="48213" xr:uid="{00000000-0005-0000-0000-000000BD0000}"/>
    <cellStyle name="SAPBEXHLevel1X 8 3 3" xfId="48214" xr:uid="{00000000-0005-0000-0000-000001BD0000}"/>
    <cellStyle name="SAPBEXHLevel1X 8 4" xfId="48215" xr:uid="{00000000-0005-0000-0000-000002BD0000}"/>
    <cellStyle name="SAPBEXHLevel1X 8 4 2" xfId="48216" xr:uid="{00000000-0005-0000-0000-000003BD0000}"/>
    <cellStyle name="SAPBEXHLevel1X 8 5" xfId="48217" xr:uid="{00000000-0005-0000-0000-000004BD0000}"/>
    <cellStyle name="SAPBEXHLevel1X 9" xfId="48218" xr:uid="{00000000-0005-0000-0000-000005BD0000}"/>
    <cellStyle name="SAPBEXHLevel1X 9 2" xfId="48219" xr:uid="{00000000-0005-0000-0000-000006BD0000}"/>
    <cellStyle name="SAPBEXHLevel1X 9 2 2" xfId="48220" xr:uid="{00000000-0005-0000-0000-000007BD0000}"/>
    <cellStyle name="SAPBEXHLevel1X 9 2 2 2" xfId="48221" xr:uid="{00000000-0005-0000-0000-000008BD0000}"/>
    <cellStyle name="SAPBEXHLevel1X 9 2 2 2 2" xfId="48222" xr:uid="{00000000-0005-0000-0000-000009BD0000}"/>
    <cellStyle name="SAPBEXHLevel1X 9 2 2 3" xfId="48223" xr:uid="{00000000-0005-0000-0000-00000ABD0000}"/>
    <cellStyle name="SAPBEXHLevel1X 9 2 3" xfId="48224" xr:uid="{00000000-0005-0000-0000-00000BBD0000}"/>
    <cellStyle name="SAPBEXHLevel1X 9 2 3 2" xfId="48225" xr:uid="{00000000-0005-0000-0000-00000CBD0000}"/>
    <cellStyle name="SAPBEXHLevel1X 9 2 4" xfId="48226" xr:uid="{00000000-0005-0000-0000-00000DBD0000}"/>
    <cellStyle name="SAPBEXHLevel1X 9 3" xfId="48227" xr:uid="{00000000-0005-0000-0000-00000EBD0000}"/>
    <cellStyle name="SAPBEXHLevel1X 9 3 2" xfId="48228" xr:uid="{00000000-0005-0000-0000-00000FBD0000}"/>
    <cellStyle name="SAPBEXHLevel1X 9 3 2 2" xfId="48229" xr:uid="{00000000-0005-0000-0000-000010BD0000}"/>
    <cellStyle name="SAPBEXHLevel1X 9 3 2 2 2" xfId="48230" xr:uid="{00000000-0005-0000-0000-000011BD0000}"/>
    <cellStyle name="SAPBEXHLevel1X 9 3 2 2 2 2" xfId="48231" xr:uid="{00000000-0005-0000-0000-000012BD0000}"/>
    <cellStyle name="SAPBEXHLevel1X 9 3 2 2 3" xfId="48232" xr:uid="{00000000-0005-0000-0000-000013BD0000}"/>
    <cellStyle name="SAPBEXHLevel1X 9 3 2 3" xfId="48233" xr:uid="{00000000-0005-0000-0000-000014BD0000}"/>
    <cellStyle name="SAPBEXHLevel1X 9 3 2 3 2" xfId="48234" xr:uid="{00000000-0005-0000-0000-000015BD0000}"/>
    <cellStyle name="SAPBEXHLevel1X 9 3 2 4" xfId="48235" xr:uid="{00000000-0005-0000-0000-000016BD0000}"/>
    <cellStyle name="SAPBEXHLevel1X 9 3 3" xfId="48236" xr:uid="{00000000-0005-0000-0000-000017BD0000}"/>
    <cellStyle name="SAPBEXHLevel1X 9 3 3 2" xfId="48237" xr:uid="{00000000-0005-0000-0000-000018BD0000}"/>
    <cellStyle name="SAPBEXHLevel1X 9 3 3 2 2" xfId="48238" xr:uid="{00000000-0005-0000-0000-000019BD0000}"/>
    <cellStyle name="SAPBEXHLevel1X 9 3 3 3" xfId="48239" xr:uid="{00000000-0005-0000-0000-00001ABD0000}"/>
    <cellStyle name="SAPBEXHLevel1X 9 3 4" xfId="48240" xr:uid="{00000000-0005-0000-0000-00001BBD0000}"/>
    <cellStyle name="SAPBEXHLevel1X 9 3 4 2" xfId="48241" xr:uid="{00000000-0005-0000-0000-00001CBD0000}"/>
    <cellStyle name="SAPBEXHLevel1X 9 3 5" xfId="48242" xr:uid="{00000000-0005-0000-0000-00001DBD0000}"/>
    <cellStyle name="SAPBEXHLevel1X 9 4" xfId="48243" xr:uid="{00000000-0005-0000-0000-00001EBD0000}"/>
    <cellStyle name="SAPBEXHLevel1X 9 4 2" xfId="48244" xr:uid="{00000000-0005-0000-0000-00001FBD0000}"/>
    <cellStyle name="SAPBEXHLevel1X 9 4 2 2" xfId="48245" xr:uid="{00000000-0005-0000-0000-000020BD0000}"/>
    <cellStyle name="SAPBEXHLevel1X 9 4 3" xfId="48246" xr:uid="{00000000-0005-0000-0000-000021BD0000}"/>
    <cellStyle name="SAPBEXHLevel1X 9 5" xfId="48247" xr:uid="{00000000-0005-0000-0000-000022BD0000}"/>
    <cellStyle name="SAPBEXHLevel1X 9 5 2" xfId="48248" xr:uid="{00000000-0005-0000-0000-000023BD0000}"/>
    <cellStyle name="SAPBEXHLevel1X 9 5 2 2" xfId="48249" xr:uid="{00000000-0005-0000-0000-000024BD0000}"/>
    <cellStyle name="SAPBEXHLevel1X 9 5 3" xfId="48250" xr:uid="{00000000-0005-0000-0000-000025BD0000}"/>
    <cellStyle name="SAPBEXHLevel1X 9 6" xfId="48251" xr:uid="{00000000-0005-0000-0000-000026BD0000}"/>
    <cellStyle name="SAPBEXHLevel1X 9 6 2" xfId="48252" xr:uid="{00000000-0005-0000-0000-000027BD0000}"/>
    <cellStyle name="SAPBEXHLevel1X 9 7" xfId="48253" xr:uid="{00000000-0005-0000-0000-000028BD0000}"/>
    <cellStyle name="SAPBEXHLevel2" xfId="64" xr:uid="{00000000-0005-0000-0000-000029BD0000}"/>
    <cellStyle name="SAPBEXHLevel2 10" xfId="48254" xr:uid="{00000000-0005-0000-0000-00002ABD0000}"/>
    <cellStyle name="SAPBEXHLevel2 10 2" xfId="48255" xr:uid="{00000000-0005-0000-0000-00002BBD0000}"/>
    <cellStyle name="SAPBEXHLevel2 10 2 2" xfId="48256" xr:uid="{00000000-0005-0000-0000-00002CBD0000}"/>
    <cellStyle name="SAPBEXHLevel2 10 3" xfId="48257" xr:uid="{00000000-0005-0000-0000-00002DBD0000}"/>
    <cellStyle name="SAPBEXHLevel2 11" xfId="48258" xr:uid="{00000000-0005-0000-0000-00002EBD0000}"/>
    <cellStyle name="SAPBEXHLevel2 11 2" xfId="48259" xr:uid="{00000000-0005-0000-0000-00002FBD0000}"/>
    <cellStyle name="SAPBEXHLevel2 12" xfId="48260" xr:uid="{00000000-0005-0000-0000-000030BD0000}"/>
    <cellStyle name="SAPBEXHLevel2 12 2" xfId="48261" xr:uid="{00000000-0005-0000-0000-000031BD0000}"/>
    <cellStyle name="SAPBEXHLevel2 12 2 2" xfId="48262" xr:uid="{00000000-0005-0000-0000-000032BD0000}"/>
    <cellStyle name="SAPBEXHLevel2 12 3" xfId="48263" xr:uid="{00000000-0005-0000-0000-000033BD0000}"/>
    <cellStyle name="SAPBEXHLevel2 12 3 2" xfId="48264" xr:uid="{00000000-0005-0000-0000-000034BD0000}"/>
    <cellStyle name="SAPBEXHLevel2 12 4" xfId="48265" xr:uid="{00000000-0005-0000-0000-000035BD0000}"/>
    <cellStyle name="SAPBEXHLevel2 13" xfId="48266" xr:uid="{00000000-0005-0000-0000-000036BD0000}"/>
    <cellStyle name="SAPBEXHLevel2 13 2" xfId="48267" xr:uid="{00000000-0005-0000-0000-000037BD0000}"/>
    <cellStyle name="SAPBEXHLevel2 14" xfId="48268" xr:uid="{00000000-0005-0000-0000-000038BD0000}"/>
    <cellStyle name="SAPBEXHLevel2 14 2" xfId="48269" xr:uid="{00000000-0005-0000-0000-000039BD0000}"/>
    <cellStyle name="SAPBEXHLevel2 14 3" xfId="48270" xr:uid="{00000000-0005-0000-0000-00003ABD0000}"/>
    <cellStyle name="SAPBEXHLevel2 15" xfId="48271" xr:uid="{00000000-0005-0000-0000-00003BBD0000}"/>
    <cellStyle name="SAPBEXHLevel2 15 2" xfId="48272" xr:uid="{00000000-0005-0000-0000-00003CBD0000}"/>
    <cellStyle name="SAPBEXHLevel2 16" xfId="48273" xr:uid="{00000000-0005-0000-0000-00003DBD0000}"/>
    <cellStyle name="SAPBEXHLevel2 16 2" xfId="48274" xr:uid="{00000000-0005-0000-0000-00003EBD0000}"/>
    <cellStyle name="SAPBEXHLevel2 17" xfId="48275" xr:uid="{00000000-0005-0000-0000-00003FBD0000}"/>
    <cellStyle name="SAPBEXHLevel2 18" xfId="48276" xr:uid="{00000000-0005-0000-0000-000040BD0000}"/>
    <cellStyle name="SAPBEXHLevel2 2" xfId="88" xr:uid="{00000000-0005-0000-0000-000041BD0000}"/>
    <cellStyle name="SAPBEXHLevel2 2 2" xfId="48277" xr:uid="{00000000-0005-0000-0000-000042BD0000}"/>
    <cellStyle name="SAPBEXHLevel2 2 2 2" xfId="48278" xr:uid="{00000000-0005-0000-0000-000043BD0000}"/>
    <cellStyle name="SAPBEXHLevel2 2 2 2 2" xfId="48279" xr:uid="{00000000-0005-0000-0000-000044BD0000}"/>
    <cellStyle name="SAPBEXHLevel2 2 2 2 2 2" xfId="48280" xr:uid="{00000000-0005-0000-0000-000045BD0000}"/>
    <cellStyle name="SAPBEXHLevel2 2 2 2 3" xfId="48281" xr:uid="{00000000-0005-0000-0000-000046BD0000}"/>
    <cellStyle name="SAPBEXHLevel2 2 2 3" xfId="48282" xr:uid="{00000000-0005-0000-0000-000047BD0000}"/>
    <cellStyle name="SAPBEXHLevel2 2 2 3 2" xfId="48283" xr:uid="{00000000-0005-0000-0000-000048BD0000}"/>
    <cellStyle name="SAPBEXHLevel2 2 2 3 2 2" xfId="48284" xr:uid="{00000000-0005-0000-0000-000049BD0000}"/>
    <cellStyle name="SAPBEXHLevel2 2 2 3 3" xfId="48285" xr:uid="{00000000-0005-0000-0000-00004ABD0000}"/>
    <cellStyle name="SAPBEXHLevel2 2 2 4" xfId="48286" xr:uid="{00000000-0005-0000-0000-00004BBD0000}"/>
    <cellStyle name="SAPBEXHLevel2 2 2 4 2" xfId="48287" xr:uid="{00000000-0005-0000-0000-00004CBD0000}"/>
    <cellStyle name="SAPBEXHLevel2 2 2 4 2 2" xfId="48288" xr:uid="{00000000-0005-0000-0000-00004DBD0000}"/>
    <cellStyle name="SAPBEXHLevel2 2 2 4 3" xfId="48289" xr:uid="{00000000-0005-0000-0000-00004EBD0000}"/>
    <cellStyle name="SAPBEXHLevel2 2 2 5" xfId="48290" xr:uid="{00000000-0005-0000-0000-00004FBD0000}"/>
    <cellStyle name="SAPBEXHLevel2 2 2 5 2" xfId="48291" xr:uid="{00000000-0005-0000-0000-000050BD0000}"/>
    <cellStyle name="SAPBEXHLevel2 2 2 6" xfId="48292" xr:uid="{00000000-0005-0000-0000-000051BD0000}"/>
    <cellStyle name="SAPBEXHLevel2 2 3" xfId="48293" xr:uid="{00000000-0005-0000-0000-000052BD0000}"/>
    <cellStyle name="SAPBEXHLevel2 2 3 2" xfId="48294" xr:uid="{00000000-0005-0000-0000-000053BD0000}"/>
    <cellStyle name="SAPBEXHLevel2 2 3 2 2" xfId="48295" xr:uid="{00000000-0005-0000-0000-000054BD0000}"/>
    <cellStyle name="SAPBEXHLevel2 2 3 2 2 2" xfId="48296" xr:uid="{00000000-0005-0000-0000-000055BD0000}"/>
    <cellStyle name="SAPBEXHLevel2 2 3 2 2 2 2" xfId="48297" xr:uid="{00000000-0005-0000-0000-000056BD0000}"/>
    <cellStyle name="SAPBEXHLevel2 2 3 2 2 3" xfId="48298" xr:uid="{00000000-0005-0000-0000-000057BD0000}"/>
    <cellStyle name="SAPBEXHLevel2 2 3 2 3" xfId="48299" xr:uid="{00000000-0005-0000-0000-000058BD0000}"/>
    <cellStyle name="SAPBEXHLevel2 2 3 2 3 2" xfId="48300" xr:uid="{00000000-0005-0000-0000-000059BD0000}"/>
    <cellStyle name="SAPBEXHLevel2 2 3 2 3 2 2" xfId="48301" xr:uid="{00000000-0005-0000-0000-00005ABD0000}"/>
    <cellStyle name="SAPBEXHLevel2 2 3 2 3 3" xfId="48302" xr:uid="{00000000-0005-0000-0000-00005BBD0000}"/>
    <cellStyle name="SAPBEXHLevel2 2 3 2 4" xfId="48303" xr:uid="{00000000-0005-0000-0000-00005CBD0000}"/>
    <cellStyle name="SAPBEXHLevel2 2 3 2 4 2" xfId="48304" xr:uid="{00000000-0005-0000-0000-00005DBD0000}"/>
    <cellStyle name="SAPBEXHLevel2 2 3 2 5" xfId="48305" xr:uid="{00000000-0005-0000-0000-00005EBD0000}"/>
    <cellStyle name="SAPBEXHLevel2 2 3 3" xfId="48306" xr:uid="{00000000-0005-0000-0000-00005FBD0000}"/>
    <cellStyle name="SAPBEXHLevel2 2 3 3 2" xfId="48307" xr:uid="{00000000-0005-0000-0000-000060BD0000}"/>
    <cellStyle name="SAPBEXHLevel2 2 3 3 2 2" xfId="48308" xr:uid="{00000000-0005-0000-0000-000061BD0000}"/>
    <cellStyle name="SAPBEXHLevel2 2 3 3 2 2 2" xfId="48309" xr:uid="{00000000-0005-0000-0000-000062BD0000}"/>
    <cellStyle name="SAPBEXHLevel2 2 3 3 2 3" xfId="48310" xr:uid="{00000000-0005-0000-0000-000063BD0000}"/>
    <cellStyle name="SAPBEXHLevel2 2 3 3 3" xfId="48311" xr:uid="{00000000-0005-0000-0000-000064BD0000}"/>
    <cellStyle name="SAPBEXHLevel2 2 3 3 3 2" xfId="48312" xr:uid="{00000000-0005-0000-0000-000065BD0000}"/>
    <cellStyle name="SAPBEXHLevel2 2 3 3 4" xfId="48313" xr:uid="{00000000-0005-0000-0000-000066BD0000}"/>
    <cellStyle name="SAPBEXHLevel2 2 3 4" xfId="48314" xr:uid="{00000000-0005-0000-0000-000067BD0000}"/>
    <cellStyle name="SAPBEXHLevel2 2 3 4 2" xfId="48315" xr:uid="{00000000-0005-0000-0000-000068BD0000}"/>
    <cellStyle name="SAPBEXHLevel2 2 3 4 2 2" xfId="48316" xr:uid="{00000000-0005-0000-0000-000069BD0000}"/>
    <cellStyle name="SAPBEXHLevel2 2 3 4 3" xfId="48317" xr:uid="{00000000-0005-0000-0000-00006ABD0000}"/>
    <cellStyle name="SAPBEXHLevel2 2 3 5" xfId="48318" xr:uid="{00000000-0005-0000-0000-00006BBD0000}"/>
    <cellStyle name="SAPBEXHLevel2 2 3 5 2" xfId="48319" xr:uid="{00000000-0005-0000-0000-00006CBD0000}"/>
    <cellStyle name="SAPBEXHLevel2 2 3 5 2 2" xfId="48320" xr:uid="{00000000-0005-0000-0000-00006DBD0000}"/>
    <cellStyle name="SAPBEXHLevel2 2 3 5 3" xfId="48321" xr:uid="{00000000-0005-0000-0000-00006EBD0000}"/>
    <cellStyle name="SAPBEXHLevel2 2 3 6" xfId="48322" xr:uid="{00000000-0005-0000-0000-00006FBD0000}"/>
    <cellStyle name="SAPBEXHLevel2 2 3 6 2" xfId="48323" xr:uid="{00000000-0005-0000-0000-000070BD0000}"/>
    <cellStyle name="SAPBEXHLevel2 2 3 7" xfId="48324" xr:uid="{00000000-0005-0000-0000-000071BD0000}"/>
    <cellStyle name="SAPBEXHLevel2 2 4" xfId="48325" xr:uid="{00000000-0005-0000-0000-000072BD0000}"/>
    <cellStyle name="SAPBEXHLevel2 2 4 2" xfId="48326" xr:uid="{00000000-0005-0000-0000-000073BD0000}"/>
    <cellStyle name="SAPBEXHLevel2 2 4 2 2" xfId="48327" xr:uid="{00000000-0005-0000-0000-000074BD0000}"/>
    <cellStyle name="SAPBEXHLevel2 2 4 2 2 2" xfId="48328" xr:uid="{00000000-0005-0000-0000-000075BD0000}"/>
    <cellStyle name="SAPBEXHLevel2 2 4 2 2 2 2" xfId="48329" xr:uid="{00000000-0005-0000-0000-000076BD0000}"/>
    <cellStyle name="SAPBEXHLevel2 2 4 2 2 2 2 2" xfId="48330" xr:uid="{00000000-0005-0000-0000-000077BD0000}"/>
    <cellStyle name="SAPBEXHLevel2 2 4 2 2 2 2 2 2" xfId="48331" xr:uid="{00000000-0005-0000-0000-000078BD0000}"/>
    <cellStyle name="SAPBEXHLevel2 2 4 2 2 2 2 3" xfId="48332" xr:uid="{00000000-0005-0000-0000-000079BD0000}"/>
    <cellStyle name="SAPBEXHLevel2 2 4 2 2 2 3" xfId="48333" xr:uid="{00000000-0005-0000-0000-00007ABD0000}"/>
    <cellStyle name="SAPBEXHLevel2 2 4 2 2 2 3 2" xfId="48334" xr:uid="{00000000-0005-0000-0000-00007BBD0000}"/>
    <cellStyle name="SAPBEXHLevel2 2 4 2 2 2 4" xfId="48335" xr:uid="{00000000-0005-0000-0000-00007CBD0000}"/>
    <cellStyle name="SAPBEXHLevel2 2 4 2 2 3" xfId="48336" xr:uid="{00000000-0005-0000-0000-00007DBD0000}"/>
    <cellStyle name="SAPBEXHLevel2 2 4 2 2 3 2" xfId="48337" xr:uid="{00000000-0005-0000-0000-00007EBD0000}"/>
    <cellStyle name="SAPBEXHLevel2 2 4 2 2 3 2 2" xfId="48338" xr:uid="{00000000-0005-0000-0000-00007FBD0000}"/>
    <cellStyle name="SAPBEXHLevel2 2 4 2 2 3 3" xfId="48339" xr:uid="{00000000-0005-0000-0000-000080BD0000}"/>
    <cellStyle name="SAPBEXHLevel2 2 4 2 2 4" xfId="48340" xr:uid="{00000000-0005-0000-0000-000081BD0000}"/>
    <cellStyle name="SAPBEXHLevel2 2 4 2 2 4 2" xfId="48341" xr:uid="{00000000-0005-0000-0000-000082BD0000}"/>
    <cellStyle name="SAPBEXHLevel2 2 4 2 2 5" xfId="48342" xr:uid="{00000000-0005-0000-0000-000083BD0000}"/>
    <cellStyle name="SAPBEXHLevel2 2 4 2 3" xfId="48343" xr:uid="{00000000-0005-0000-0000-000084BD0000}"/>
    <cellStyle name="SAPBEXHLevel2 2 4 2 3 2" xfId="48344" xr:uid="{00000000-0005-0000-0000-000085BD0000}"/>
    <cellStyle name="SAPBEXHLevel2 2 4 2 3 2 2" xfId="48345" xr:uid="{00000000-0005-0000-0000-000086BD0000}"/>
    <cellStyle name="SAPBEXHLevel2 2 4 2 3 3" xfId="48346" xr:uid="{00000000-0005-0000-0000-000087BD0000}"/>
    <cellStyle name="SAPBEXHLevel2 2 4 2 4" xfId="48347" xr:uid="{00000000-0005-0000-0000-000088BD0000}"/>
    <cellStyle name="SAPBEXHLevel2 2 4 2 4 2" xfId="48348" xr:uid="{00000000-0005-0000-0000-000089BD0000}"/>
    <cellStyle name="SAPBEXHLevel2 2 4 2 4 2 2" xfId="48349" xr:uid="{00000000-0005-0000-0000-00008ABD0000}"/>
    <cellStyle name="SAPBEXHLevel2 2 4 2 4 2 2 2" xfId="48350" xr:uid="{00000000-0005-0000-0000-00008BBD0000}"/>
    <cellStyle name="SAPBEXHLevel2 2 4 2 4 2 3" xfId="48351" xr:uid="{00000000-0005-0000-0000-00008CBD0000}"/>
    <cellStyle name="SAPBEXHLevel2 2 4 2 4 3" xfId="48352" xr:uid="{00000000-0005-0000-0000-00008DBD0000}"/>
    <cellStyle name="SAPBEXHLevel2 2 4 2 4 3 2" xfId="48353" xr:uid="{00000000-0005-0000-0000-00008EBD0000}"/>
    <cellStyle name="SAPBEXHLevel2 2 4 2 4 4" xfId="48354" xr:uid="{00000000-0005-0000-0000-00008FBD0000}"/>
    <cellStyle name="SAPBEXHLevel2 2 4 2 5" xfId="48355" xr:uid="{00000000-0005-0000-0000-000090BD0000}"/>
    <cellStyle name="SAPBEXHLevel2 2 4 2 5 2" xfId="48356" xr:uid="{00000000-0005-0000-0000-000091BD0000}"/>
    <cellStyle name="SAPBEXHLevel2 2 4 2 5 2 2" xfId="48357" xr:uid="{00000000-0005-0000-0000-000092BD0000}"/>
    <cellStyle name="SAPBEXHLevel2 2 4 2 5 3" xfId="48358" xr:uid="{00000000-0005-0000-0000-000093BD0000}"/>
    <cellStyle name="SAPBEXHLevel2 2 4 2 6" xfId="48359" xr:uid="{00000000-0005-0000-0000-000094BD0000}"/>
    <cellStyle name="SAPBEXHLevel2 2 4 2 6 2" xfId="48360" xr:uid="{00000000-0005-0000-0000-000095BD0000}"/>
    <cellStyle name="SAPBEXHLevel2 2 4 2 7" xfId="48361" xr:uid="{00000000-0005-0000-0000-000096BD0000}"/>
    <cellStyle name="SAPBEXHLevel2 2 4 3" xfId="48362" xr:uid="{00000000-0005-0000-0000-000097BD0000}"/>
    <cellStyle name="SAPBEXHLevel2 2 4 3 2" xfId="48363" xr:uid="{00000000-0005-0000-0000-000098BD0000}"/>
    <cellStyle name="SAPBEXHLevel2 2 4 3 2 2" xfId="48364" xr:uid="{00000000-0005-0000-0000-000099BD0000}"/>
    <cellStyle name="SAPBEXHLevel2 2 4 3 2 2 2" xfId="48365" xr:uid="{00000000-0005-0000-0000-00009ABD0000}"/>
    <cellStyle name="SAPBEXHLevel2 2 4 3 2 2 2 2" xfId="48366" xr:uid="{00000000-0005-0000-0000-00009BBD0000}"/>
    <cellStyle name="SAPBEXHLevel2 2 4 3 2 2 2 2 2" xfId="48367" xr:uid="{00000000-0005-0000-0000-00009CBD0000}"/>
    <cellStyle name="SAPBEXHLevel2 2 4 3 2 2 2 3" xfId="48368" xr:uid="{00000000-0005-0000-0000-00009DBD0000}"/>
    <cellStyle name="SAPBEXHLevel2 2 4 3 2 2 3" xfId="48369" xr:uid="{00000000-0005-0000-0000-00009EBD0000}"/>
    <cellStyle name="SAPBEXHLevel2 2 4 3 2 2 3 2" xfId="48370" xr:uid="{00000000-0005-0000-0000-00009FBD0000}"/>
    <cellStyle name="SAPBEXHLevel2 2 4 3 2 2 4" xfId="48371" xr:uid="{00000000-0005-0000-0000-0000A0BD0000}"/>
    <cellStyle name="SAPBEXHLevel2 2 4 3 2 3" xfId="48372" xr:uid="{00000000-0005-0000-0000-0000A1BD0000}"/>
    <cellStyle name="SAPBEXHLevel2 2 4 3 2 3 2" xfId="48373" xr:uid="{00000000-0005-0000-0000-0000A2BD0000}"/>
    <cellStyle name="SAPBEXHLevel2 2 4 3 2 3 2 2" xfId="48374" xr:uid="{00000000-0005-0000-0000-0000A3BD0000}"/>
    <cellStyle name="SAPBEXHLevel2 2 4 3 2 3 3" xfId="48375" xr:uid="{00000000-0005-0000-0000-0000A4BD0000}"/>
    <cellStyle name="SAPBEXHLevel2 2 4 3 2 4" xfId="48376" xr:uid="{00000000-0005-0000-0000-0000A5BD0000}"/>
    <cellStyle name="SAPBEXHLevel2 2 4 3 2 4 2" xfId="48377" xr:uid="{00000000-0005-0000-0000-0000A6BD0000}"/>
    <cellStyle name="SAPBEXHLevel2 2 4 3 2 5" xfId="48378" xr:uid="{00000000-0005-0000-0000-0000A7BD0000}"/>
    <cellStyle name="SAPBEXHLevel2 2 4 3 3" xfId="48379" xr:uid="{00000000-0005-0000-0000-0000A8BD0000}"/>
    <cellStyle name="SAPBEXHLevel2 2 4 3 3 2" xfId="48380" xr:uid="{00000000-0005-0000-0000-0000A9BD0000}"/>
    <cellStyle name="SAPBEXHLevel2 2 4 3 3 2 2" xfId="48381" xr:uid="{00000000-0005-0000-0000-0000AABD0000}"/>
    <cellStyle name="SAPBEXHLevel2 2 4 3 3 2 2 2" xfId="48382" xr:uid="{00000000-0005-0000-0000-0000ABBD0000}"/>
    <cellStyle name="SAPBEXHLevel2 2 4 3 3 2 3" xfId="48383" xr:uid="{00000000-0005-0000-0000-0000ACBD0000}"/>
    <cellStyle name="SAPBEXHLevel2 2 4 3 3 3" xfId="48384" xr:uid="{00000000-0005-0000-0000-0000ADBD0000}"/>
    <cellStyle name="SAPBEXHLevel2 2 4 3 3 3 2" xfId="48385" xr:uid="{00000000-0005-0000-0000-0000AEBD0000}"/>
    <cellStyle name="SAPBEXHLevel2 2 4 3 3 4" xfId="48386" xr:uid="{00000000-0005-0000-0000-0000AFBD0000}"/>
    <cellStyle name="SAPBEXHLevel2 2 4 3 4" xfId="48387" xr:uid="{00000000-0005-0000-0000-0000B0BD0000}"/>
    <cellStyle name="SAPBEXHLevel2 2 4 3 4 2" xfId="48388" xr:uid="{00000000-0005-0000-0000-0000B1BD0000}"/>
    <cellStyle name="SAPBEXHLevel2 2 4 3 4 2 2" xfId="48389" xr:uid="{00000000-0005-0000-0000-0000B2BD0000}"/>
    <cellStyle name="SAPBEXHLevel2 2 4 3 4 3" xfId="48390" xr:uid="{00000000-0005-0000-0000-0000B3BD0000}"/>
    <cellStyle name="SAPBEXHLevel2 2 4 3 5" xfId="48391" xr:uid="{00000000-0005-0000-0000-0000B4BD0000}"/>
    <cellStyle name="SAPBEXHLevel2 2 4 3 5 2" xfId="48392" xr:uid="{00000000-0005-0000-0000-0000B5BD0000}"/>
    <cellStyle name="SAPBEXHLevel2 2 4 3 6" xfId="48393" xr:uid="{00000000-0005-0000-0000-0000B6BD0000}"/>
    <cellStyle name="SAPBEXHLevel2 2 4 4" xfId="48394" xr:uid="{00000000-0005-0000-0000-0000B7BD0000}"/>
    <cellStyle name="SAPBEXHLevel2 2 4 4 2" xfId="48395" xr:uid="{00000000-0005-0000-0000-0000B8BD0000}"/>
    <cellStyle name="SAPBEXHLevel2 2 4 4 2 2" xfId="48396" xr:uid="{00000000-0005-0000-0000-0000B9BD0000}"/>
    <cellStyle name="SAPBEXHLevel2 2 4 4 3" xfId="48397" xr:uid="{00000000-0005-0000-0000-0000BABD0000}"/>
    <cellStyle name="SAPBEXHLevel2 2 4 5" xfId="48398" xr:uid="{00000000-0005-0000-0000-0000BBBD0000}"/>
    <cellStyle name="SAPBEXHLevel2 2 4 5 2" xfId="48399" xr:uid="{00000000-0005-0000-0000-0000BCBD0000}"/>
    <cellStyle name="SAPBEXHLevel2 2 4 5 2 2" xfId="48400" xr:uid="{00000000-0005-0000-0000-0000BDBD0000}"/>
    <cellStyle name="SAPBEXHLevel2 2 4 5 2 2 2" xfId="48401" xr:uid="{00000000-0005-0000-0000-0000BEBD0000}"/>
    <cellStyle name="SAPBEXHLevel2 2 4 5 2 3" xfId="48402" xr:uid="{00000000-0005-0000-0000-0000BFBD0000}"/>
    <cellStyle name="SAPBEXHLevel2 2 4 5 3" xfId="48403" xr:uid="{00000000-0005-0000-0000-0000C0BD0000}"/>
    <cellStyle name="SAPBEXHLevel2 2 4 5 3 2" xfId="48404" xr:uid="{00000000-0005-0000-0000-0000C1BD0000}"/>
    <cellStyle name="SAPBEXHLevel2 2 4 5 4" xfId="48405" xr:uid="{00000000-0005-0000-0000-0000C2BD0000}"/>
    <cellStyle name="SAPBEXHLevel2 2 4 6" xfId="48406" xr:uid="{00000000-0005-0000-0000-0000C3BD0000}"/>
    <cellStyle name="SAPBEXHLevel2 2 4 6 2" xfId="48407" xr:uid="{00000000-0005-0000-0000-0000C4BD0000}"/>
    <cellStyle name="SAPBEXHLevel2 2 4 6 2 2" xfId="48408" xr:uid="{00000000-0005-0000-0000-0000C5BD0000}"/>
    <cellStyle name="SAPBEXHLevel2 2 4 6 3" xfId="48409" xr:uid="{00000000-0005-0000-0000-0000C6BD0000}"/>
    <cellStyle name="SAPBEXHLevel2 2 4 7" xfId="48410" xr:uid="{00000000-0005-0000-0000-0000C7BD0000}"/>
    <cellStyle name="SAPBEXHLevel2 2 4 7 2" xfId="48411" xr:uid="{00000000-0005-0000-0000-0000C8BD0000}"/>
    <cellStyle name="SAPBEXHLevel2 2 4 8" xfId="48412" xr:uid="{00000000-0005-0000-0000-0000C9BD0000}"/>
    <cellStyle name="SAPBEXHLevel2 2 5" xfId="48413" xr:uid="{00000000-0005-0000-0000-0000CABD0000}"/>
    <cellStyle name="SAPBEXHLevel2 2 5 2" xfId="48414" xr:uid="{00000000-0005-0000-0000-0000CBBD0000}"/>
    <cellStyle name="SAPBEXHLevel2 2 5 2 2" xfId="48415" xr:uid="{00000000-0005-0000-0000-0000CCBD0000}"/>
    <cellStyle name="SAPBEXHLevel2 2 5 2 2 2" xfId="48416" xr:uid="{00000000-0005-0000-0000-0000CDBD0000}"/>
    <cellStyle name="SAPBEXHLevel2 2 5 2 3" xfId="48417" xr:uid="{00000000-0005-0000-0000-0000CEBD0000}"/>
    <cellStyle name="SAPBEXHLevel2 2 5 3" xfId="48418" xr:uid="{00000000-0005-0000-0000-0000CFBD0000}"/>
    <cellStyle name="SAPBEXHLevel2 2 5 3 2" xfId="48419" xr:uid="{00000000-0005-0000-0000-0000D0BD0000}"/>
    <cellStyle name="SAPBEXHLevel2 2 5 4" xfId="48420" xr:uid="{00000000-0005-0000-0000-0000D1BD0000}"/>
    <cellStyle name="SAPBEXHLevel2 2 6" xfId="48421" xr:uid="{00000000-0005-0000-0000-0000D2BD0000}"/>
    <cellStyle name="SAPBEXHLevel2 2 6 2" xfId="48422" xr:uid="{00000000-0005-0000-0000-0000D3BD0000}"/>
    <cellStyle name="SAPBEXHLevel2 2 6 2 2" xfId="48423" xr:uid="{00000000-0005-0000-0000-0000D4BD0000}"/>
    <cellStyle name="SAPBEXHLevel2 2 6 3" xfId="48424" xr:uid="{00000000-0005-0000-0000-0000D5BD0000}"/>
    <cellStyle name="SAPBEXHLevel2 2 7" xfId="48425" xr:uid="{00000000-0005-0000-0000-0000D6BD0000}"/>
    <cellStyle name="SAPBEXHLevel2 2 7 2" xfId="48426" xr:uid="{00000000-0005-0000-0000-0000D7BD0000}"/>
    <cellStyle name="SAPBEXHLevel2 2 7 2 2" xfId="48427" xr:uid="{00000000-0005-0000-0000-0000D8BD0000}"/>
    <cellStyle name="SAPBEXHLevel2 2 7 3" xfId="48428" xr:uid="{00000000-0005-0000-0000-0000D9BD0000}"/>
    <cellStyle name="SAPBEXHLevel2 2 8" xfId="48429" xr:uid="{00000000-0005-0000-0000-0000DABD0000}"/>
    <cellStyle name="SAPBEXHLevel2 2 8 2" xfId="48430" xr:uid="{00000000-0005-0000-0000-0000DBBD0000}"/>
    <cellStyle name="SAPBEXHLevel2 2 9" xfId="48431" xr:uid="{00000000-0005-0000-0000-0000DCBD0000}"/>
    <cellStyle name="SAPBEXHLevel2 3" xfId="48432" xr:uid="{00000000-0005-0000-0000-0000DDBD0000}"/>
    <cellStyle name="SAPBEXHLevel2 3 2" xfId="48433" xr:uid="{00000000-0005-0000-0000-0000DEBD0000}"/>
    <cellStyle name="SAPBEXHLevel2 3 2 2" xfId="48434" xr:uid="{00000000-0005-0000-0000-0000DFBD0000}"/>
    <cellStyle name="SAPBEXHLevel2 3 2 2 2" xfId="48435" xr:uid="{00000000-0005-0000-0000-0000E0BD0000}"/>
    <cellStyle name="SAPBEXHLevel2 3 2 2 2 2" xfId="48436" xr:uid="{00000000-0005-0000-0000-0000E1BD0000}"/>
    <cellStyle name="SAPBEXHLevel2 3 2 2 3" xfId="48437" xr:uid="{00000000-0005-0000-0000-0000E2BD0000}"/>
    <cellStyle name="SAPBEXHLevel2 3 2 3" xfId="48438" xr:uid="{00000000-0005-0000-0000-0000E3BD0000}"/>
    <cellStyle name="SAPBEXHLevel2 3 2 3 2" xfId="48439" xr:uid="{00000000-0005-0000-0000-0000E4BD0000}"/>
    <cellStyle name="SAPBEXHLevel2 3 2 3 2 2" xfId="48440" xr:uid="{00000000-0005-0000-0000-0000E5BD0000}"/>
    <cellStyle name="SAPBEXHLevel2 3 2 3 3" xfId="48441" xr:uid="{00000000-0005-0000-0000-0000E6BD0000}"/>
    <cellStyle name="SAPBEXHLevel2 3 2 4" xfId="48442" xr:uid="{00000000-0005-0000-0000-0000E7BD0000}"/>
    <cellStyle name="SAPBEXHLevel2 3 2 4 2" xfId="48443" xr:uid="{00000000-0005-0000-0000-0000E8BD0000}"/>
    <cellStyle name="SAPBEXHLevel2 3 2 4 2 2" xfId="48444" xr:uid="{00000000-0005-0000-0000-0000E9BD0000}"/>
    <cellStyle name="SAPBEXHLevel2 3 2 4 3" xfId="48445" xr:uid="{00000000-0005-0000-0000-0000EABD0000}"/>
    <cellStyle name="SAPBEXHLevel2 3 2 5" xfId="48446" xr:uid="{00000000-0005-0000-0000-0000EBBD0000}"/>
    <cellStyle name="SAPBEXHLevel2 3 2 5 2" xfId="48447" xr:uid="{00000000-0005-0000-0000-0000ECBD0000}"/>
    <cellStyle name="SAPBEXHLevel2 3 2 6" xfId="48448" xr:uid="{00000000-0005-0000-0000-0000EDBD0000}"/>
    <cellStyle name="SAPBEXHLevel2 3 3" xfId="48449" xr:uid="{00000000-0005-0000-0000-0000EEBD0000}"/>
    <cellStyle name="SAPBEXHLevel2 3 3 2" xfId="48450" xr:uid="{00000000-0005-0000-0000-0000EFBD0000}"/>
    <cellStyle name="SAPBEXHLevel2 3 3 2 2" xfId="48451" xr:uid="{00000000-0005-0000-0000-0000F0BD0000}"/>
    <cellStyle name="SAPBEXHLevel2 3 3 2 2 2" xfId="48452" xr:uid="{00000000-0005-0000-0000-0000F1BD0000}"/>
    <cellStyle name="SAPBEXHLevel2 3 3 2 3" xfId="48453" xr:uid="{00000000-0005-0000-0000-0000F2BD0000}"/>
    <cellStyle name="SAPBEXHLevel2 3 3 3" xfId="48454" xr:uid="{00000000-0005-0000-0000-0000F3BD0000}"/>
    <cellStyle name="SAPBEXHLevel2 3 3 3 2" xfId="48455" xr:uid="{00000000-0005-0000-0000-0000F4BD0000}"/>
    <cellStyle name="SAPBEXHLevel2 3 3 4" xfId="48456" xr:uid="{00000000-0005-0000-0000-0000F5BD0000}"/>
    <cellStyle name="SAPBEXHLevel2 3 4" xfId="48457" xr:uid="{00000000-0005-0000-0000-0000F6BD0000}"/>
    <cellStyle name="SAPBEXHLevel2 3 4 2" xfId="48458" xr:uid="{00000000-0005-0000-0000-0000F7BD0000}"/>
    <cellStyle name="SAPBEXHLevel2 3 4 2 2" xfId="48459" xr:uid="{00000000-0005-0000-0000-0000F8BD0000}"/>
    <cellStyle name="SAPBEXHLevel2 3 4 3" xfId="48460" xr:uid="{00000000-0005-0000-0000-0000F9BD0000}"/>
    <cellStyle name="SAPBEXHLevel2 3 5" xfId="48461" xr:uid="{00000000-0005-0000-0000-0000FABD0000}"/>
    <cellStyle name="SAPBEXHLevel2 3 5 2" xfId="48462" xr:uid="{00000000-0005-0000-0000-0000FBBD0000}"/>
    <cellStyle name="SAPBEXHLevel2 3 5 2 2" xfId="48463" xr:uid="{00000000-0005-0000-0000-0000FCBD0000}"/>
    <cellStyle name="SAPBEXHLevel2 3 5 3" xfId="48464" xr:uid="{00000000-0005-0000-0000-0000FDBD0000}"/>
    <cellStyle name="SAPBEXHLevel2 3 6" xfId="48465" xr:uid="{00000000-0005-0000-0000-0000FEBD0000}"/>
    <cellStyle name="SAPBEXHLevel2 3 6 2" xfId="48466" xr:uid="{00000000-0005-0000-0000-0000FFBD0000}"/>
    <cellStyle name="SAPBEXHLevel2 3 7" xfId="48467" xr:uid="{00000000-0005-0000-0000-000000BE0000}"/>
    <cellStyle name="SAPBEXHLevel2 4" xfId="48468" xr:uid="{00000000-0005-0000-0000-000001BE0000}"/>
    <cellStyle name="SAPBEXHLevel2 4 2" xfId="48469" xr:uid="{00000000-0005-0000-0000-000002BE0000}"/>
    <cellStyle name="SAPBEXHLevel2 4 2 2" xfId="48470" xr:uid="{00000000-0005-0000-0000-000003BE0000}"/>
    <cellStyle name="SAPBEXHLevel2 4 2 2 2" xfId="48471" xr:uid="{00000000-0005-0000-0000-000004BE0000}"/>
    <cellStyle name="SAPBEXHLevel2 4 2 2 2 2" xfId="48472" xr:uid="{00000000-0005-0000-0000-000005BE0000}"/>
    <cellStyle name="SAPBEXHLevel2 4 2 2 3" xfId="48473" xr:uid="{00000000-0005-0000-0000-000006BE0000}"/>
    <cellStyle name="SAPBEXHLevel2 4 2 3" xfId="48474" xr:uid="{00000000-0005-0000-0000-000007BE0000}"/>
    <cellStyle name="SAPBEXHLevel2 4 2 3 2" xfId="48475" xr:uid="{00000000-0005-0000-0000-000008BE0000}"/>
    <cellStyle name="SAPBEXHLevel2 4 2 3 2 2" xfId="48476" xr:uid="{00000000-0005-0000-0000-000009BE0000}"/>
    <cellStyle name="SAPBEXHLevel2 4 2 3 3" xfId="48477" xr:uid="{00000000-0005-0000-0000-00000ABE0000}"/>
    <cellStyle name="SAPBEXHLevel2 4 2 4" xfId="48478" xr:uid="{00000000-0005-0000-0000-00000BBE0000}"/>
    <cellStyle name="SAPBEXHLevel2 4 2 4 2" xfId="48479" xr:uid="{00000000-0005-0000-0000-00000CBE0000}"/>
    <cellStyle name="SAPBEXHLevel2 4 2 4 2 2" xfId="48480" xr:uid="{00000000-0005-0000-0000-00000DBE0000}"/>
    <cellStyle name="SAPBEXHLevel2 4 2 4 3" xfId="48481" xr:uid="{00000000-0005-0000-0000-00000EBE0000}"/>
    <cellStyle name="SAPBEXHLevel2 4 2 5" xfId="48482" xr:uid="{00000000-0005-0000-0000-00000FBE0000}"/>
    <cellStyle name="SAPBEXHLevel2 4 2 5 2" xfId="48483" xr:uid="{00000000-0005-0000-0000-000010BE0000}"/>
    <cellStyle name="SAPBEXHLevel2 4 2 6" xfId="48484" xr:uid="{00000000-0005-0000-0000-000011BE0000}"/>
    <cellStyle name="SAPBEXHLevel2 4 3" xfId="48485" xr:uid="{00000000-0005-0000-0000-000012BE0000}"/>
    <cellStyle name="SAPBEXHLevel2 4 3 2" xfId="48486" xr:uid="{00000000-0005-0000-0000-000013BE0000}"/>
    <cellStyle name="SAPBEXHLevel2 4 3 2 2" xfId="48487" xr:uid="{00000000-0005-0000-0000-000014BE0000}"/>
    <cellStyle name="SAPBEXHLevel2 4 3 2 2 2" xfId="48488" xr:uid="{00000000-0005-0000-0000-000015BE0000}"/>
    <cellStyle name="SAPBEXHLevel2 4 3 2 2 2 2" xfId="48489" xr:uid="{00000000-0005-0000-0000-000016BE0000}"/>
    <cellStyle name="SAPBEXHLevel2 4 3 2 2 3" xfId="48490" xr:uid="{00000000-0005-0000-0000-000017BE0000}"/>
    <cellStyle name="SAPBEXHLevel2 4 3 2 3" xfId="48491" xr:uid="{00000000-0005-0000-0000-000018BE0000}"/>
    <cellStyle name="SAPBEXHLevel2 4 3 2 3 2" xfId="48492" xr:uid="{00000000-0005-0000-0000-000019BE0000}"/>
    <cellStyle name="SAPBEXHLevel2 4 3 2 3 2 2" xfId="48493" xr:uid="{00000000-0005-0000-0000-00001ABE0000}"/>
    <cellStyle name="SAPBEXHLevel2 4 3 2 3 3" xfId="48494" xr:uid="{00000000-0005-0000-0000-00001BBE0000}"/>
    <cellStyle name="SAPBEXHLevel2 4 3 2 4" xfId="48495" xr:uid="{00000000-0005-0000-0000-00001CBE0000}"/>
    <cellStyle name="SAPBEXHLevel2 4 3 2 4 2" xfId="48496" xr:uid="{00000000-0005-0000-0000-00001DBE0000}"/>
    <cellStyle name="SAPBEXHLevel2 4 3 2 5" xfId="48497" xr:uid="{00000000-0005-0000-0000-00001EBE0000}"/>
    <cellStyle name="SAPBEXHLevel2 4 3 3" xfId="48498" xr:uid="{00000000-0005-0000-0000-00001FBE0000}"/>
    <cellStyle name="SAPBEXHLevel2 4 3 3 2" xfId="48499" xr:uid="{00000000-0005-0000-0000-000020BE0000}"/>
    <cellStyle name="SAPBEXHLevel2 4 3 3 2 2" xfId="48500" xr:uid="{00000000-0005-0000-0000-000021BE0000}"/>
    <cellStyle name="SAPBEXHLevel2 4 3 3 2 2 2" xfId="48501" xr:uid="{00000000-0005-0000-0000-000022BE0000}"/>
    <cellStyle name="SAPBEXHLevel2 4 3 3 2 3" xfId="48502" xr:uid="{00000000-0005-0000-0000-000023BE0000}"/>
    <cellStyle name="SAPBEXHLevel2 4 3 3 3" xfId="48503" xr:uid="{00000000-0005-0000-0000-000024BE0000}"/>
    <cellStyle name="SAPBEXHLevel2 4 3 3 3 2" xfId="48504" xr:uid="{00000000-0005-0000-0000-000025BE0000}"/>
    <cellStyle name="SAPBEXHLevel2 4 3 3 4" xfId="48505" xr:uid="{00000000-0005-0000-0000-000026BE0000}"/>
    <cellStyle name="SAPBEXHLevel2 4 3 4" xfId="48506" xr:uid="{00000000-0005-0000-0000-000027BE0000}"/>
    <cellStyle name="SAPBEXHLevel2 4 3 4 2" xfId="48507" xr:uid="{00000000-0005-0000-0000-000028BE0000}"/>
    <cellStyle name="SAPBEXHLevel2 4 3 4 2 2" xfId="48508" xr:uid="{00000000-0005-0000-0000-000029BE0000}"/>
    <cellStyle name="SAPBEXHLevel2 4 3 4 3" xfId="48509" xr:uid="{00000000-0005-0000-0000-00002ABE0000}"/>
    <cellStyle name="SAPBEXHLevel2 4 3 5" xfId="48510" xr:uid="{00000000-0005-0000-0000-00002BBE0000}"/>
    <cellStyle name="SAPBEXHLevel2 4 3 5 2" xfId="48511" xr:uid="{00000000-0005-0000-0000-00002CBE0000}"/>
    <cellStyle name="SAPBEXHLevel2 4 3 5 2 2" xfId="48512" xr:uid="{00000000-0005-0000-0000-00002DBE0000}"/>
    <cellStyle name="SAPBEXHLevel2 4 3 5 3" xfId="48513" xr:uid="{00000000-0005-0000-0000-00002EBE0000}"/>
    <cellStyle name="SAPBEXHLevel2 4 3 6" xfId="48514" xr:uid="{00000000-0005-0000-0000-00002FBE0000}"/>
    <cellStyle name="SAPBEXHLevel2 4 3 6 2" xfId="48515" xr:uid="{00000000-0005-0000-0000-000030BE0000}"/>
    <cellStyle name="SAPBEXHLevel2 4 3 7" xfId="48516" xr:uid="{00000000-0005-0000-0000-000031BE0000}"/>
    <cellStyle name="SAPBEXHLevel2 4 4" xfId="48517" xr:uid="{00000000-0005-0000-0000-000032BE0000}"/>
    <cellStyle name="SAPBEXHLevel2 4 4 2" xfId="48518" xr:uid="{00000000-0005-0000-0000-000033BE0000}"/>
    <cellStyle name="SAPBEXHLevel2 4 4 2 2" xfId="48519" xr:uid="{00000000-0005-0000-0000-000034BE0000}"/>
    <cellStyle name="SAPBEXHLevel2 4 4 2 2 2" xfId="48520" xr:uid="{00000000-0005-0000-0000-000035BE0000}"/>
    <cellStyle name="SAPBEXHLevel2 4 4 2 3" xfId="48521" xr:uid="{00000000-0005-0000-0000-000036BE0000}"/>
    <cellStyle name="SAPBEXHLevel2 4 4 3" xfId="48522" xr:uid="{00000000-0005-0000-0000-000037BE0000}"/>
    <cellStyle name="SAPBEXHLevel2 4 4 3 2" xfId="48523" xr:uid="{00000000-0005-0000-0000-000038BE0000}"/>
    <cellStyle name="SAPBEXHLevel2 4 4 4" xfId="48524" xr:uid="{00000000-0005-0000-0000-000039BE0000}"/>
    <cellStyle name="SAPBEXHLevel2 4 5" xfId="48525" xr:uid="{00000000-0005-0000-0000-00003ABE0000}"/>
    <cellStyle name="SAPBEXHLevel2 4 5 2" xfId="48526" xr:uid="{00000000-0005-0000-0000-00003BBE0000}"/>
    <cellStyle name="SAPBEXHLevel2 4 5 2 2" xfId="48527" xr:uid="{00000000-0005-0000-0000-00003CBE0000}"/>
    <cellStyle name="SAPBEXHLevel2 4 5 3" xfId="48528" xr:uid="{00000000-0005-0000-0000-00003DBE0000}"/>
    <cellStyle name="SAPBEXHLevel2 4 6" xfId="48529" xr:uid="{00000000-0005-0000-0000-00003EBE0000}"/>
    <cellStyle name="SAPBEXHLevel2 4 6 2" xfId="48530" xr:uid="{00000000-0005-0000-0000-00003FBE0000}"/>
    <cellStyle name="SAPBEXHLevel2 4 6 2 2" xfId="48531" xr:uid="{00000000-0005-0000-0000-000040BE0000}"/>
    <cellStyle name="SAPBEXHLevel2 4 6 3" xfId="48532" xr:uid="{00000000-0005-0000-0000-000041BE0000}"/>
    <cellStyle name="SAPBEXHLevel2 4 7" xfId="48533" xr:uid="{00000000-0005-0000-0000-000042BE0000}"/>
    <cellStyle name="SAPBEXHLevel2 4 7 2" xfId="48534" xr:uid="{00000000-0005-0000-0000-000043BE0000}"/>
    <cellStyle name="SAPBEXHLevel2 4 8" xfId="48535" xr:uid="{00000000-0005-0000-0000-000044BE0000}"/>
    <cellStyle name="SAPBEXHLevel2 5" xfId="48536" xr:uid="{00000000-0005-0000-0000-000045BE0000}"/>
    <cellStyle name="SAPBEXHLevel2 5 2" xfId="48537" xr:uid="{00000000-0005-0000-0000-000046BE0000}"/>
    <cellStyle name="SAPBEXHLevel2 5 2 2" xfId="48538" xr:uid="{00000000-0005-0000-0000-000047BE0000}"/>
    <cellStyle name="SAPBEXHLevel2 5 2 2 2" xfId="48539" xr:uid="{00000000-0005-0000-0000-000048BE0000}"/>
    <cellStyle name="SAPBEXHLevel2 5 2 3" xfId="48540" xr:uid="{00000000-0005-0000-0000-000049BE0000}"/>
    <cellStyle name="SAPBEXHLevel2 5 3" xfId="48541" xr:uid="{00000000-0005-0000-0000-00004ABE0000}"/>
    <cellStyle name="SAPBEXHLevel2 5 3 2" xfId="48542" xr:uid="{00000000-0005-0000-0000-00004BBE0000}"/>
    <cellStyle name="SAPBEXHLevel2 5 3 2 2" xfId="48543" xr:uid="{00000000-0005-0000-0000-00004CBE0000}"/>
    <cellStyle name="SAPBEXHLevel2 5 3 3" xfId="48544" xr:uid="{00000000-0005-0000-0000-00004DBE0000}"/>
    <cellStyle name="SAPBEXHLevel2 5 4" xfId="48545" xr:uid="{00000000-0005-0000-0000-00004EBE0000}"/>
    <cellStyle name="SAPBEXHLevel2 5 4 2" xfId="48546" xr:uid="{00000000-0005-0000-0000-00004FBE0000}"/>
    <cellStyle name="SAPBEXHLevel2 5 4 2 2" xfId="48547" xr:uid="{00000000-0005-0000-0000-000050BE0000}"/>
    <cellStyle name="SAPBEXHLevel2 5 4 3" xfId="48548" xr:uid="{00000000-0005-0000-0000-000051BE0000}"/>
    <cellStyle name="SAPBEXHLevel2 5 5" xfId="48549" xr:uid="{00000000-0005-0000-0000-000052BE0000}"/>
    <cellStyle name="SAPBEXHLevel2 5 5 2" xfId="48550" xr:uid="{00000000-0005-0000-0000-000053BE0000}"/>
    <cellStyle name="SAPBEXHLevel2 5 6" xfId="48551" xr:uid="{00000000-0005-0000-0000-000054BE0000}"/>
    <cellStyle name="SAPBEXHLevel2 6" xfId="48552" xr:uid="{00000000-0005-0000-0000-000055BE0000}"/>
    <cellStyle name="SAPBEXHLevel2 6 2" xfId="48553" xr:uid="{00000000-0005-0000-0000-000056BE0000}"/>
    <cellStyle name="SAPBEXHLevel2 6 2 2" xfId="48554" xr:uid="{00000000-0005-0000-0000-000057BE0000}"/>
    <cellStyle name="SAPBEXHLevel2 6 3" xfId="48555" xr:uid="{00000000-0005-0000-0000-000058BE0000}"/>
    <cellStyle name="SAPBEXHLevel2 6 3 2" xfId="48556" xr:uid="{00000000-0005-0000-0000-000059BE0000}"/>
    <cellStyle name="SAPBEXHLevel2 6 3 2 2" xfId="48557" xr:uid="{00000000-0005-0000-0000-00005ABE0000}"/>
    <cellStyle name="SAPBEXHLevel2 6 3 3" xfId="48558" xr:uid="{00000000-0005-0000-0000-00005BBE0000}"/>
    <cellStyle name="SAPBEXHLevel2 6 4" xfId="48559" xr:uid="{00000000-0005-0000-0000-00005CBE0000}"/>
    <cellStyle name="SAPBEXHLevel2 6 4 2" xfId="48560" xr:uid="{00000000-0005-0000-0000-00005DBE0000}"/>
    <cellStyle name="SAPBEXHLevel2 6 4 2 2" xfId="48561" xr:uid="{00000000-0005-0000-0000-00005EBE0000}"/>
    <cellStyle name="SAPBEXHLevel2 6 4 3" xfId="48562" xr:uid="{00000000-0005-0000-0000-00005FBE0000}"/>
    <cellStyle name="SAPBEXHLevel2 6 5" xfId="48563" xr:uid="{00000000-0005-0000-0000-000060BE0000}"/>
    <cellStyle name="SAPBEXHLevel2 7" xfId="48564" xr:uid="{00000000-0005-0000-0000-000061BE0000}"/>
    <cellStyle name="SAPBEXHLevel2 7 2" xfId="48565" xr:uid="{00000000-0005-0000-0000-000062BE0000}"/>
    <cellStyle name="SAPBEXHLevel2 7 2 2" xfId="48566" xr:uid="{00000000-0005-0000-0000-000063BE0000}"/>
    <cellStyle name="SAPBEXHLevel2 7 2 2 2" xfId="48567" xr:uid="{00000000-0005-0000-0000-000064BE0000}"/>
    <cellStyle name="SAPBEXHLevel2 7 2 3" xfId="48568" xr:uid="{00000000-0005-0000-0000-000065BE0000}"/>
    <cellStyle name="SAPBEXHLevel2 7 2 3 2" xfId="48569" xr:uid="{00000000-0005-0000-0000-000066BE0000}"/>
    <cellStyle name="SAPBEXHLevel2 7 2 3 2 2" xfId="48570" xr:uid="{00000000-0005-0000-0000-000067BE0000}"/>
    <cellStyle name="SAPBEXHLevel2 7 2 3 3" xfId="48571" xr:uid="{00000000-0005-0000-0000-000068BE0000}"/>
    <cellStyle name="SAPBEXHLevel2 7 2 4" xfId="48572" xr:uid="{00000000-0005-0000-0000-000069BE0000}"/>
    <cellStyle name="SAPBEXHLevel2 7 3" xfId="48573" xr:uid="{00000000-0005-0000-0000-00006ABE0000}"/>
    <cellStyle name="SAPBEXHLevel2 7 3 2" xfId="48574" xr:uid="{00000000-0005-0000-0000-00006BBE0000}"/>
    <cellStyle name="SAPBEXHLevel2 7 3 2 2" xfId="48575" xr:uid="{00000000-0005-0000-0000-00006CBE0000}"/>
    <cellStyle name="SAPBEXHLevel2 7 3 3" xfId="48576" xr:uid="{00000000-0005-0000-0000-00006DBE0000}"/>
    <cellStyle name="SAPBEXHLevel2 7 4" xfId="48577" xr:uid="{00000000-0005-0000-0000-00006EBE0000}"/>
    <cellStyle name="SAPBEXHLevel2 7 4 2" xfId="48578" xr:uid="{00000000-0005-0000-0000-00006FBE0000}"/>
    <cellStyle name="SAPBEXHLevel2 7 4 2 2" xfId="48579" xr:uid="{00000000-0005-0000-0000-000070BE0000}"/>
    <cellStyle name="SAPBEXHLevel2 7 4 3" xfId="48580" xr:uid="{00000000-0005-0000-0000-000071BE0000}"/>
    <cellStyle name="SAPBEXHLevel2 7 5" xfId="48581" xr:uid="{00000000-0005-0000-0000-000072BE0000}"/>
    <cellStyle name="SAPBEXHLevel2 7 5 2" xfId="48582" xr:uid="{00000000-0005-0000-0000-000073BE0000}"/>
    <cellStyle name="SAPBEXHLevel2 7 5 2 2" xfId="48583" xr:uid="{00000000-0005-0000-0000-000074BE0000}"/>
    <cellStyle name="SAPBEXHLevel2 7 5 3" xfId="48584" xr:uid="{00000000-0005-0000-0000-000075BE0000}"/>
    <cellStyle name="SAPBEXHLevel2 7 6" xfId="48585" xr:uid="{00000000-0005-0000-0000-000076BE0000}"/>
    <cellStyle name="SAPBEXHLevel2 8" xfId="48586" xr:uid="{00000000-0005-0000-0000-000077BE0000}"/>
    <cellStyle name="SAPBEXHLevel2 8 2" xfId="48587" xr:uid="{00000000-0005-0000-0000-000078BE0000}"/>
    <cellStyle name="SAPBEXHLevel2 8 2 2" xfId="48588" xr:uid="{00000000-0005-0000-0000-000079BE0000}"/>
    <cellStyle name="SAPBEXHLevel2 8 3" xfId="48589" xr:uid="{00000000-0005-0000-0000-00007ABE0000}"/>
    <cellStyle name="SAPBEXHLevel2 9" xfId="48590" xr:uid="{00000000-0005-0000-0000-00007BBE0000}"/>
    <cellStyle name="SAPBEXHLevel2 9 2" xfId="48591" xr:uid="{00000000-0005-0000-0000-00007CBE0000}"/>
    <cellStyle name="SAPBEXHLevel2 9 2 2" xfId="48592" xr:uid="{00000000-0005-0000-0000-00007DBE0000}"/>
    <cellStyle name="SAPBEXHLevel2 9 3" xfId="48593" xr:uid="{00000000-0005-0000-0000-00007EBE0000}"/>
    <cellStyle name="SAPBEXHLevel2X" xfId="65" xr:uid="{00000000-0005-0000-0000-00007FBE0000}"/>
    <cellStyle name="SAPBEXHLevel2X 10" xfId="48594" xr:uid="{00000000-0005-0000-0000-000080BE0000}"/>
    <cellStyle name="SAPBEXHLevel2X 10 2" xfId="48595" xr:uid="{00000000-0005-0000-0000-000081BE0000}"/>
    <cellStyle name="SAPBEXHLevel2X 10 2 2" xfId="48596" xr:uid="{00000000-0005-0000-0000-000082BE0000}"/>
    <cellStyle name="SAPBEXHLevel2X 10 3" xfId="48597" xr:uid="{00000000-0005-0000-0000-000083BE0000}"/>
    <cellStyle name="SAPBEXHLevel2X 11" xfId="48598" xr:uid="{00000000-0005-0000-0000-000084BE0000}"/>
    <cellStyle name="SAPBEXHLevel2X 11 2" xfId="48599" xr:uid="{00000000-0005-0000-0000-000085BE0000}"/>
    <cellStyle name="SAPBEXHLevel2X 11 2 2" xfId="48600" xr:uid="{00000000-0005-0000-0000-000086BE0000}"/>
    <cellStyle name="SAPBEXHLevel2X 11 3" xfId="48601" xr:uid="{00000000-0005-0000-0000-000087BE0000}"/>
    <cellStyle name="SAPBEXHLevel2X 12" xfId="48602" xr:uid="{00000000-0005-0000-0000-000088BE0000}"/>
    <cellStyle name="SAPBEXHLevel2X 12 2" xfId="48603" xr:uid="{00000000-0005-0000-0000-000089BE0000}"/>
    <cellStyle name="SAPBEXHLevel2X 12 2 2" xfId="48604" xr:uid="{00000000-0005-0000-0000-00008ABE0000}"/>
    <cellStyle name="SAPBEXHLevel2X 12 3" xfId="48605" xr:uid="{00000000-0005-0000-0000-00008BBE0000}"/>
    <cellStyle name="SAPBEXHLevel2X 13" xfId="48606" xr:uid="{00000000-0005-0000-0000-00008CBE0000}"/>
    <cellStyle name="SAPBEXHLevel2X 13 2" xfId="48607" xr:uid="{00000000-0005-0000-0000-00008DBE0000}"/>
    <cellStyle name="SAPBEXHLevel2X 13 2 2" xfId="48608" xr:uid="{00000000-0005-0000-0000-00008EBE0000}"/>
    <cellStyle name="SAPBEXHLevel2X 13 3" xfId="48609" xr:uid="{00000000-0005-0000-0000-00008FBE0000}"/>
    <cellStyle name="SAPBEXHLevel2X 14" xfId="48610" xr:uid="{00000000-0005-0000-0000-000090BE0000}"/>
    <cellStyle name="SAPBEXHLevel2X 14 2" xfId="48611" xr:uid="{00000000-0005-0000-0000-000091BE0000}"/>
    <cellStyle name="SAPBEXHLevel2X 15" xfId="48612" xr:uid="{00000000-0005-0000-0000-000092BE0000}"/>
    <cellStyle name="SAPBEXHLevel2X 15 2" xfId="48613" xr:uid="{00000000-0005-0000-0000-000093BE0000}"/>
    <cellStyle name="SAPBEXHLevel2X 15 2 2" xfId="48614" xr:uid="{00000000-0005-0000-0000-000094BE0000}"/>
    <cellStyle name="SAPBEXHLevel2X 15 3" xfId="48615" xr:uid="{00000000-0005-0000-0000-000095BE0000}"/>
    <cellStyle name="SAPBEXHLevel2X 15 3 2" xfId="48616" xr:uid="{00000000-0005-0000-0000-000096BE0000}"/>
    <cellStyle name="SAPBEXHLevel2X 15 4" xfId="48617" xr:uid="{00000000-0005-0000-0000-000097BE0000}"/>
    <cellStyle name="SAPBEXHLevel2X 16" xfId="48618" xr:uid="{00000000-0005-0000-0000-000098BE0000}"/>
    <cellStyle name="SAPBEXHLevel2X 16 2" xfId="48619" xr:uid="{00000000-0005-0000-0000-000099BE0000}"/>
    <cellStyle name="SAPBEXHLevel2X 17" xfId="48620" xr:uid="{00000000-0005-0000-0000-00009ABE0000}"/>
    <cellStyle name="SAPBEXHLevel2X 17 2" xfId="48621" xr:uid="{00000000-0005-0000-0000-00009BBE0000}"/>
    <cellStyle name="SAPBEXHLevel2X 17 3" xfId="48622" xr:uid="{00000000-0005-0000-0000-00009CBE0000}"/>
    <cellStyle name="SAPBEXHLevel2X 18" xfId="48623" xr:uid="{00000000-0005-0000-0000-00009DBE0000}"/>
    <cellStyle name="SAPBEXHLevel2X 18 2" xfId="48624" xr:uid="{00000000-0005-0000-0000-00009EBE0000}"/>
    <cellStyle name="SAPBEXHLevel2X 19" xfId="48625" xr:uid="{00000000-0005-0000-0000-00009FBE0000}"/>
    <cellStyle name="SAPBEXHLevel2X 19 2" xfId="48626" xr:uid="{00000000-0005-0000-0000-0000A0BE0000}"/>
    <cellStyle name="SAPBEXHLevel2X 2" xfId="89" xr:uid="{00000000-0005-0000-0000-0000A1BE0000}"/>
    <cellStyle name="SAPBEXHLevel2X 2 2" xfId="48627" xr:uid="{00000000-0005-0000-0000-0000A2BE0000}"/>
    <cellStyle name="SAPBEXHLevel2X 2 2 2" xfId="48628" xr:uid="{00000000-0005-0000-0000-0000A3BE0000}"/>
    <cellStyle name="SAPBEXHLevel2X 2 2 2 2" xfId="48629" xr:uid="{00000000-0005-0000-0000-0000A4BE0000}"/>
    <cellStyle name="SAPBEXHLevel2X 2 2 2 2 2" xfId="48630" xr:uid="{00000000-0005-0000-0000-0000A5BE0000}"/>
    <cellStyle name="SAPBEXHLevel2X 2 2 2 3" xfId="48631" xr:uid="{00000000-0005-0000-0000-0000A6BE0000}"/>
    <cellStyle name="SAPBEXHLevel2X 2 2 3" xfId="48632" xr:uid="{00000000-0005-0000-0000-0000A7BE0000}"/>
    <cellStyle name="SAPBEXHLevel2X 2 2 3 2" xfId="48633" xr:uid="{00000000-0005-0000-0000-0000A8BE0000}"/>
    <cellStyle name="SAPBEXHLevel2X 2 2 3 2 2" xfId="48634" xr:uid="{00000000-0005-0000-0000-0000A9BE0000}"/>
    <cellStyle name="SAPBEXHLevel2X 2 2 3 3" xfId="48635" xr:uid="{00000000-0005-0000-0000-0000AABE0000}"/>
    <cellStyle name="SAPBEXHLevel2X 2 2 4" xfId="48636" xr:uid="{00000000-0005-0000-0000-0000ABBE0000}"/>
    <cellStyle name="SAPBEXHLevel2X 2 2 4 2" xfId="48637" xr:uid="{00000000-0005-0000-0000-0000ACBE0000}"/>
    <cellStyle name="SAPBEXHLevel2X 2 2 4 2 2" xfId="48638" xr:uid="{00000000-0005-0000-0000-0000ADBE0000}"/>
    <cellStyle name="SAPBEXHLevel2X 2 2 4 3" xfId="48639" xr:uid="{00000000-0005-0000-0000-0000AEBE0000}"/>
    <cellStyle name="SAPBEXHLevel2X 2 2 5" xfId="48640" xr:uid="{00000000-0005-0000-0000-0000AFBE0000}"/>
    <cellStyle name="SAPBEXHLevel2X 2 2 5 2" xfId="48641" xr:uid="{00000000-0005-0000-0000-0000B0BE0000}"/>
    <cellStyle name="SAPBEXHLevel2X 2 2 6" xfId="48642" xr:uid="{00000000-0005-0000-0000-0000B1BE0000}"/>
    <cellStyle name="SAPBEXHLevel2X 2 3" xfId="48643" xr:uid="{00000000-0005-0000-0000-0000B2BE0000}"/>
    <cellStyle name="SAPBEXHLevel2X 2 3 2" xfId="48644" xr:uid="{00000000-0005-0000-0000-0000B3BE0000}"/>
    <cellStyle name="SAPBEXHLevel2X 2 3 2 2" xfId="48645" xr:uid="{00000000-0005-0000-0000-0000B4BE0000}"/>
    <cellStyle name="SAPBEXHLevel2X 2 3 2 2 2" xfId="48646" xr:uid="{00000000-0005-0000-0000-0000B5BE0000}"/>
    <cellStyle name="SAPBEXHLevel2X 2 3 2 2 2 2" xfId="48647" xr:uid="{00000000-0005-0000-0000-0000B6BE0000}"/>
    <cellStyle name="SAPBEXHLevel2X 2 3 2 2 3" xfId="48648" xr:uid="{00000000-0005-0000-0000-0000B7BE0000}"/>
    <cellStyle name="SAPBEXHLevel2X 2 3 2 3" xfId="48649" xr:uid="{00000000-0005-0000-0000-0000B8BE0000}"/>
    <cellStyle name="SAPBEXHLevel2X 2 3 2 3 2" xfId="48650" xr:uid="{00000000-0005-0000-0000-0000B9BE0000}"/>
    <cellStyle name="SAPBEXHLevel2X 2 3 2 3 2 2" xfId="48651" xr:uid="{00000000-0005-0000-0000-0000BABE0000}"/>
    <cellStyle name="SAPBEXHLevel2X 2 3 2 3 3" xfId="48652" xr:uid="{00000000-0005-0000-0000-0000BBBE0000}"/>
    <cellStyle name="SAPBEXHLevel2X 2 3 2 4" xfId="48653" xr:uid="{00000000-0005-0000-0000-0000BCBE0000}"/>
    <cellStyle name="SAPBEXHLevel2X 2 3 2 4 2" xfId="48654" xr:uid="{00000000-0005-0000-0000-0000BDBE0000}"/>
    <cellStyle name="SAPBEXHLevel2X 2 3 2 5" xfId="48655" xr:uid="{00000000-0005-0000-0000-0000BEBE0000}"/>
    <cellStyle name="SAPBEXHLevel2X 2 3 3" xfId="48656" xr:uid="{00000000-0005-0000-0000-0000BFBE0000}"/>
    <cellStyle name="SAPBEXHLevel2X 2 3 3 2" xfId="48657" xr:uid="{00000000-0005-0000-0000-0000C0BE0000}"/>
    <cellStyle name="SAPBEXHLevel2X 2 3 3 2 2" xfId="48658" xr:uid="{00000000-0005-0000-0000-0000C1BE0000}"/>
    <cellStyle name="SAPBEXHLevel2X 2 3 3 2 2 2" xfId="48659" xr:uid="{00000000-0005-0000-0000-0000C2BE0000}"/>
    <cellStyle name="SAPBEXHLevel2X 2 3 3 2 3" xfId="48660" xr:uid="{00000000-0005-0000-0000-0000C3BE0000}"/>
    <cellStyle name="SAPBEXHLevel2X 2 3 3 3" xfId="48661" xr:uid="{00000000-0005-0000-0000-0000C4BE0000}"/>
    <cellStyle name="SAPBEXHLevel2X 2 3 3 3 2" xfId="48662" xr:uid="{00000000-0005-0000-0000-0000C5BE0000}"/>
    <cellStyle name="SAPBEXHLevel2X 2 3 3 4" xfId="48663" xr:uid="{00000000-0005-0000-0000-0000C6BE0000}"/>
    <cellStyle name="SAPBEXHLevel2X 2 3 4" xfId="48664" xr:uid="{00000000-0005-0000-0000-0000C7BE0000}"/>
    <cellStyle name="SAPBEXHLevel2X 2 3 4 2" xfId="48665" xr:uid="{00000000-0005-0000-0000-0000C8BE0000}"/>
    <cellStyle name="SAPBEXHLevel2X 2 3 4 2 2" xfId="48666" xr:uid="{00000000-0005-0000-0000-0000C9BE0000}"/>
    <cellStyle name="SAPBEXHLevel2X 2 3 4 3" xfId="48667" xr:uid="{00000000-0005-0000-0000-0000CABE0000}"/>
    <cellStyle name="SAPBEXHLevel2X 2 3 5" xfId="48668" xr:uid="{00000000-0005-0000-0000-0000CBBE0000}"/>
    <cellStyle name="SAPBEXHLevel2X 2 3 5 2" xfId="48669" xr:uid="{00000000-0005-0000-0000-0000CCBE0000}"/>
    <cellStyle name="SAPBEXHLevel2X 2 3 5 2 2" xfId="48670" xr:uid="{00000000-0005-0000-0000-0000CDBE0000}"/>
    <cellStyle name="SAPBEXHLevel2X 2 3 5 3" xfId="48671" xr:uid="{00000000-0005-0000-0000-0000CEBE0000}"/>
    <cellStyle name="SAPBEXHLevel2X 2 3 6" xfId="48672" xr:uid="{00000000-0005-0000-0000-0000CFBE0000}"/>
    <cellStyle name="SAPBEXHLevel2X 2 3 6 2" xfId="48673" xr:uid="{00000000-0005-0000-0000-0000D0BE0000}"/>
    <cellStyle name="SAPBEXHLevel2X 2 3 7" xfId="48674" xr:uid="{00000000-0005-0000-0000-0000D1BE0000}"/>
    <cellStyle name="SAPBEXHLevel2X 2 4" xfId="48675" xr:uid="{00000000-0005-0000-0000-0000D2BE0000}"/>
    <cellStyle name="SAPBEXHLevel2X 2 4 2" xfId="48676" xr:uid="{00000000-0005-0000-0000-0000D3BE0000}"/>
    <cellStyle name="SAPBEXHLevel2X 2 4 2 2" xfId="48677" xr:uid="{00000000-0005-0000-0000-0000D4BE0000}"/>
    <cellStyle name="SAPBEXHLevel2X 2 4 2 2 2" xfId="48678" xr:uid="{00000000-0005-0000-0000-0000D5BE0000}"/>
    <cellStyle name="SAPBEXHLevel2X 2 4 2 2 2 2" xfId="48679" xr:uid="{00000000-0005-0000-0000-0000D6BE0000}"/>
    <cellStyle name="SAPBEXHLevel2X 2 4 2 2 3" xfId="48680" xr:uid="{00000000-0005-0000-0000-0000D7BE0000}"/>
    <cellStyle name="SAPBEXHLevel2X 2 4 2 3" xfId="48681" xr:uid="{00000000-0005-0000-0000-0000D8BE0000}"/>
    <cellStyle name="SAPBEXHLevel2X 2 4 2 3 2" xfId="48682" xr:uid="{00000000-0005-0000-0000-0000D9BE0000}"/>
    <cellStyle name="SAPBEXHLevel2X 2 4 2 3 2 2" xfId="48683" xr:uid="{00000000-0005-0000-0000-0000DABE0000}"/>
    <cellStyle name="SAPBEXHLevel2X 2 4 2 3 3" xfId="48684" xr:uid="{00000000-0005-0000-0000-0000DBBE0000}"/>
    <cellStyle name="SAPBEXHLevel2X 2 4 2 4" xfId="48685" xr:uid="{00000000-0005-0000-0000-0000DCBE0000}"/>
    <cellStyle name="SAPBEXHLevel2X 2 4 2 4 2" xfId="48686" xr:uid="{00000000-0005-0000-0000-0000DDBE0000}"/>
    <cellStyle name="SAPBEXHLevel2X 2 4 2 5" xfId="48687" xr:uid="{00000000-0005-0000-0000-0000DEBE0000}"/>
    <cellStyle name="SAPBEXHLevel2X 2 4 3" xfId="48688" xr:uid="{00000000-0005-0000-0000-0000DFBE0000}"/>
    <cellStyle name="SAPBEXHLevel2X 2 4 3 2" xfId="48689" xr:uid="{00000000-0005-0000-0000-0000E0BE0000}"/>
    <cellStyle name="SAPBEXHLevel2X 2 4 3 2 2" xfId="48690" xr:uid="{00000000-0005-0000-0000-0000E1BE0000}"/>
    <cellStyle name="SAPBEXHLevel2X 2 4 3 2 2 2" xfId="48691" xr:uid="{00000000-0005-0000-0000-0000E2BE0000}"/>
    <cellStyle name="SAPBEXHLevel2X 2 4 3 2 3" xfId="48692" xr:uid="{00000000-0005-0000-0000-0000E3BE0000}"/>
    <cellStyle name="SAPBEXHLevel2X 2 4 3 3" xfId="48693" xr:uid="{00000000-0005-0000-0000-0000E4BE0000}"/>
    <cellStyle name="SAPBEXHLevel2X 2 4 3 3 2" xfId="48694" xr:uid="{00000000-0005-0000-0000-0000E5BE0000}"/>
    <cellStyle name="SAPBEXHLevel2X 2 4 3 4" xfId="48695" xr:uid="{00000000-0005-0000-0000-0000E6BE0000}"/>
    <cellStyle name="SAPBEXHLevel2X 2 4 4" xfId="48696" xr:uid="{00000000-0005-0000-0000-0000E7BE0000}"/>
    <cellStyle name="SAPBEXHLevel2X 2 4 4 2" xfId="48697" xr:uid="{00000000-0005-0000-0000-0000E8BE0000}"/>
    <cellStyle name="SAPBEXHLevel2X 2 4 4 2 2" xfId="48698" xr:uid="{00000000-0005-0000-0000-0000E9BE0000}"/>
    <cellStyle name="SAPBEXHLevel2X 2 4 4 3" xfId="48699" xr:uid="{00000000-0005-0000-0000-0000EABE0000}"/>
    <cellStyle name="SAPBEXHLevel2X 2 4 5" xfId="48700" xr:uid="{00000000-0005-0000-0000-0000EBBE0000}"/>
    <cellStyle name="SAPBEXHLevel2X 2 4 5 2" xfId="48701" xr:uid="{00000000-0005-0000-0000-0000ECBE0000}"/>
    <cellStyle name="SAPBEXHLevel2X 2 4 6" xfId="48702" xr:uid="{00000000-0005-0000-0000-0000EDBE0000}"/>
    <cellStyle name="SAPBEXHLevel2X 2 5" xfId="48703" xr:uid="{00000000-0005-0000-0000-0000EEBE0000}"/>
    <cellStyle name="SAPBEXHLevel2X 2 5 2" xfId="48704" xr:uid="{00000000-0005-0000-0000-0000EFBE0000}"/>
    <cellStyle name="SAPBEXHLevel2X 2 5 2 2" xfId="48705" xr:uid="{00000000-0005-0000-0000-0000F0BE0000}"/>
    <cellStyle name="SAPBEXHLevel2X 2 5 2 2 2" xfId="48706" xr:uid="{00000000-0005-0000-0000-0000F1BE0000}"/>
    <cellStyle name="SAPBEXHLevel2X 2 5 2 3" xfId="48707" xr:uid="{00000000-0005-0000-0000-0000F2BE0000}"/>
    <cellStyle name="SAPBEXHLevel2X 2 5 3" xfId="48708" xr:uid="{00000000-0005-0000-0000-0000F3BE0000}"/>
    <cellStyle name="SAPBEXHLevel2X 2 5 3 2" xfId="48709" xr:uid="{00000000-0005-0000-0000-0000F4BE0000}"/>
    <cellStyle name="SAPBEXHLevel2X 2 5 4" xfId="48710" xr:uid="{00000000-0005-0000-0000-0000F5BE0000}"/>
    <cellStyle name="SAPBEXHLevel2X 2 6" xfId="48711" xr:uid="{00000000-0005-0000-0000-0000F6BE0000}"/>
    <cellStyle name="SAPBEXHLevel2X 2 6 2" xfId="48712" xr:uid="{00000000-0005-0000-0000-0000F7BE0000}"/>
    <cellStyle name="SAPBEXHLevel2X 2 6 2 2" xfId="48713" xr:uid="{00000000-0005-0000-0000-0000F8BE0000}"/>
    <cellStyle name="SAPBEXHLevel2X 2 6 3" xfId="48714" xr:uid="{00000000-0005-0000-0000-0000F9BE0000}"/>
    <cellStyle name="SAPBEXHLevel2X 2 7" xfId="48715" xr:uid="{00000000-0005-0000-0000-0000FABE0000}"/>
    <cellStyle name="SAPBEXHLevel2X 2 7 2" xfId="48716" xr:uid="{00000000-0005-0000-0000-0000FBBE0000}"/>
    <cellStyle name="SAPBEXHLevel2X 2 7 2 2" xfId="48717" xr:uid="{00000000-0005-0000-0000-0000FCBE0000}"/>
    <cellStyle name="SAPBEXHLevel2X 2 7 3" xfId="48718" xr:uid="{00000000-0005-0000-0000-0000FDBE0000}"/>
    <cellStyle name="SAPBEXHLevel2X 2 8" xfId="48719" xr:uid="{00000000-0005-0000-0000-0000FEBE0000}"/>
    <cellStyle name="SAPBEXHLevel2X 2 8 2" xfId="48720" xr:uid="{00000000-0005-0000-0000-0000FFBE0000}"/>
    <cellStyle name="SAPBEXHLevel2X 2 9" xfId="48721" xr:uid="{00000000-0005-0000-0000-000000BF0000}"/>
    <cellStyle name="SAPBEXHLevel2X 20" xfId="48722" xr:uid="{00000000-0005-0000-0000-000001BF0000}"/>
    <cellStyle name="SAPBEXHLevel2X 21" xfId="48723" xr:uid="{00000000-0005-0000-0000-000002BF0000}"/>
    <cellStyle name="SAPBEXHLevel2X 22" xfId="48724" xr:uid="{00000000-0005-0000-0000-000003BF0000}"/>
    <cellStyle name="SAPBEXHLevel2X 23" xfId="48725" xr:uid="{00000000-0005-0000-0000-000004BF0000}"/>
    <cellStyle name="SAPBEXHLevel2X 3" xfId="48726" xr:uid="{00000000-0005-0000-0000-000005BF0000}"/>
    <cellStyle name="SAPBEXHLevel2X 3 2" xfId="48727" xr:uid="{00000000-0005-0000-0000-000006BF0000}"/>
    <cellStyle name="SAPBEXHLevel2X 3 2 2" xfId="48728" xr:uid="{00000000-0005-0000-0000-000007BF0000}"/>
    <cellStyle name="SAPBEXHLevel2X 3 2 2 2" xfId="48729" xr:uid="{00000000-0005-0000-0000-000008BF0000}"/>
    <cellStyle name="SAPBEXHLevel2X 3 2 2 2 2" xfId="48730" xr:uid="{00000000-0005-0000-0000-000009BF0000}"/>
    <cellStyle name="SAPBEXHLevel2X 3 2 2 3" xfId="48731" xr:uid="{00000000-0005-0000-0000-00000ABF0000}"/>
    <cellStyle name="SAPBEXHLevel2X 3 2 3" xfId="48732" xr:uid="{00000000-0005-0000-0000-00000BBF0000}"/>
    <cellStyle name="SAPBEXHLevel2X 3 2 3 2" xfId="48733" xr:uid="{00000000-0005-0000-0000-00000CBF0000}"/>
    <cellStyle name="SAPBEXHLevel2X 3 2 3 2 2" xfId="48734" xr:uid="{00000000-0005-0000-0000-00000DBF0000}"/>
    <cellStyle name="SAPBEXHLevel2X 3 2 3 3" xfId="48735" xr:uid="{00000000-0005-0000-0000-00000EBF0000}"/>
    <cellStyle name="SAPBEXHLevel2X 3 2 4" xfId="48736" xr:uid="{00000000-0005-0000-0000-00000FBF0000}"/>
    <cellStyle name="SAPBEXHLevel2X 3 2 4 2" xfId="48737" xr:uid="{00000000-0005-0000-0000-000010BF0000}"/>
    <cellStyle name="SAPBEXHLevel2X 3 2 4 2 2" xfId="48738" xr:uid="{00000000-0005-0000-0000-000011BF0000}"/>
    <cellStyle name="SAPBEXHLevel2X 3 2 4 3" xfId="48739" xr:uid="{00000000-0005-0000-0000-000012BF0000}"/>
    <cellStyle name="SAPBEXHLevel2X 3 2 5" xfId="48740" xr:uid="{00000000-0005-0000-0000-000013BF0000}"/>
    <cellStyle name="SAPBEXHLevel2X 3 2 5 2" xfId="48741" xr:uid="{00000000-0005-0000-0000-000014BF0000}"/>
    <cellStyle name="SAPBEXHLevel2X 3 2 6" xfId="48742" xr:uid="{00000000-0005-0000-0000-000015BF0000}"/>
    <cellStyle name="SAPBEXHLevel2X 3 3" xfId="48743" xr:uid="{00000000-0005-0000-0000-000016BF0000}"/>
    <cellStyle name="SAPBEXHLevel2X 3 3 2" xfId="48744" xr:uid="{00000000-0005-0000-0000-000017BF0000}"/>
    <cellStyle name="SAPBEXHLevel2X 3 3 2 2" xfId="48745" xr:uid="{00000000-0005-0000-0000-000018BF0000}"/>
    <cellStyle name="SAPBEXHLevel2X 3 3 2 2 2" xfId="48746" xr:uid="{00000000-0005-0000-0000-000019BF0000}"/>
    <cellStyle name="SAPBEXHLevel2X 3 3 2 3" xfId="48747" xr:uid="{00000000-0005-0000-0000-00001ABF0000}"/>
    <cellStyle name="SAPBEXHLevel2X 3 3 3" xfId="48748" xr:uid="{00000000-0005-0000-0000-00001BBF0000}"/>
    <cellStyle name="SAPBEXHLevel2X 3 3 3 2" xfId="48749" xr:uid="{00000000-0005-0000-0000-00001CBF0000}"/>
    <cellStyle name="SAPBEXHLevel2X 3 3 4" xfId="48750" xr:uid="{00000000-0005-0000-0000-00001DBF0000}"/>
    <cellStyle name="SAPBEXHLevel2X 3 4" xfId="48751" xr:uid="{00000000-0005-0000-0000-00001EBF0000}"/>
    <cellStyle name="SAPBEXHLevel2X 3 4 2" xfId="48752" xr:uid="{00000000-0005-0000-0000-00001FBF0000}"/>
    <cellStyle name="SAPBEXHLevel2X 3 4 2 2" xfId="48753" xr:uid="{00000000-0005-0000-0000-000020BF0000}"/>
    <cellStyle name="SAPBEXHLevel2X 3 4 3" xfId="48754" xr:uid="{00000000-0005-0000-0000-000021BF0000}"/>
    <cellStyle name="SAPBEXHLevel2X 3 5" xfId="48755" xr:uid="{00000000-0005-0000-0000-000022BF0000}"/>
    <cellStyle name="SAPBEXHLevel2X 3 5 2" xfId="48756" xr:uid="{00000000-0005-0000-0000-000023BF0000}"/>
    <cellStyle name="SAPBEXHLevel2X 3 5 2 2" xfId="48757" xr:uid="{00000000-0005-0000-0000-000024BF0000}"/>
    <cellStyle name="SAPBEXHLevel2X 3 5 3" xfId="48758" xr:uid="{00000000-0005-0000-0000-000025BF0000}"/>
    <cellStyle name="SAPBEXHLevel2X 3 6" xfId="48759" xr:uid="{00000000-0005-0000-0000-000026BF0000}"/>
    <cellStyle name="SAPBEXHLevel2X 3 6 2" xfId="48760" xr:uid="{00000000-0005-0000-0000-000027BF0000}"/>
    <cellStyle name="SAPBEXHLevel2X 3 7" xfId="48761" xr:uid="{00000000-0005-0000-0000-000028BF0000}"/>
    <cellStyle name="SAPBEXHLevel2X 4" xfId="48762" xr:uid="{00000000-0005-0000-0000-000029BF0000}"/>
    <cellStyle name="SAPBEXHLevel2X 4 2" xfId="48763" xr:uid="{00000000-0005-0000-0000-00002ABF0000}"/>
    <cellStyle name="SAPBEXHLevel2X 4 2 2" xfId="48764" xr:uid="{00000000-0005-0000-0000-00002BBF0000}"/>
    <cellStyle name="SAPBEXHLevel2X 4 2 2 2" xfId="48765" xr:uid="{00000000-0005-0000-0000-00002CBF0000}"/>
    <cellStyle name="SAPBEXHLevel2X 4 2 2 2 2" xfId="48766" xr:uid="{00000000-0005-0000-0000-00002DBF0000}"/>
    <cellStyle name="SAPBEXHLevel2X 4 2 2 3" xfId="48767" xr:uid="{00000000-0005-0000-0000-00002EBF0000}"/>
    <cellStyle name="SAPBEXHLevel2X 4 2 3" xfId="48768" xr:uid="{00000000-0005-0000-0000-00002FBF0000}"/>
    <cellStyle name="SAPBEXHLevel2X 4 2 3 2" xfId="48769" xr:uid="{00000000-0005-0000-0000-000030BF0000}"/>
    <cellStyle name="SAPBEXHLevel2X 4 2 3 2 2" xfId="48770" xr:uid="{00000000-0005-0000-0000-000031BF0000}"/>
    <cellStyle name="SAPBEXHLevel2X 4 2 3 3" xfId="48771" xr:uid="{00000000-0005-0000-0000-000032BF0000}"/>
    <cellStyle name="SAPBEXHLevel2X 4 2 4" xfId="48772" xr:uid="{00000000-0005-0000-0000-000033BF0000}"/>
    <cellStyle name="SAPBEXHLevel2X 4 2 4 2" xfId="48773" xr:uid="{00000000-0005-0000-0000-000034BF0000}"/>
    <cellStyle name="SAPBEXHLevel2X 4 2 4 2 2" xfId="48774" xr:uid="{00000000-0005-0000-0000-000035BF0000}"/>
    <cellStyle name="SAPBEXHLevel2X 4 2 4 3" xfId="48775" xr:uid="{00000000-0005-0000-0000-000036BF0000}"/>
    <cellStyle name="SAPBEXHLevel2X 4 2 5" xfId="48776" xr:uid="{00000000-0005-0000-0000-000037BF0000}"/>
    <cellStyle name="SAPBEXHLevel2X 4 2 5 2" xfId="48777" xr:uid="{00000000-0005-0000-0000-000038BF0000}"/>
    <cellStyle name="SAPBEXHLevel2X 4 2 6" xfId="48778" xr:uid="{00000000-0005-0000-0000-000039BF0000}"/>
    <cellStyle name="SAPBEXHLevel2X 4 3" xfId="48779" xr:uid="{00000000-0005-0000-0000-00003ABF0000}"/>
    <cellStyle name="SAPBEXHLevel2X 4 3 2" xfId="48780" xr:uid="{00000000-0005-0000-0000-00003BBF0000}"/>
    <cellStyle name="SAPBEXHLevel2X 4 3 2 2" xfId="48781" xr:uid="{00000000-0005-0000-0000-00003CBF0000}"/>
    <cellStyle name="SAPBEXHLevel2X 4 3 2 2 2" xfId="48782" xr:uid="{00000000-0005-0000-0000-00003DBF0000}"/>
    <cellStyle name="SAPBEXHLevel2X 4 3 2 2 2 2" xfId="48783" xr:uid="{00000000-0005-0000-0000-00003EBF0000}"/>
    <cellStyle name="SAPBEXHLevel2X 4 3 2 2 3" xfId="48784" xr:uid="{00000000-0005-0000-0000-00003FBF0000}"/>
    <cellStyle name="SAPBEXHLevel2X 4 3 2 3" xfId="48785" xr:uid="{00000000-0005-0000-0000-000040BF0000}"/>
    <cellStyle name="SAPBEXHLevel2X 4 3 2 3 2" xfId="48786" xr:uid="{00000000-0005-0000-0000-000041BF0000}"/>
    <cellStyle name="SAPBEXHLevel2X 4 3 2 3 2 2" xfId="48787" xr:uid="{00000000-0005-0000-0000-000042BF0000}"/>
    <cellStyle name="SAPBEXHLevel2X 4 3 2 3 3" xfId="48788" xr:uid="{00000000-0005-0000-0000-000043BF0000}"/>
    <cellStyle name="SAPBEXHLevel2X 4 3 2 4" xfId="48789" xr:uid="{00000000-0005-0000-0000-000044BF0000}"/>
    <cellStyle name="SAPBEXHLevel2X 4 3 2 4 2" xfId="48790" xr:uid="{00000000-0005-0000-0000-000045BF0000}"/>
    <cellStyle name="SAPBEXHLevel2X 4 3 2 5" xfId="48791" xr:uid="{00000000-0005-0000-0000-000046BF0000}"/>
    <cellStyle name="SAPBEXHLevel2X 4 3 3" xfId="48792" xr:uid="{00000000-0005-0000-0000-000047BF0000}"/>
    <cellStyle name="SAPBEXHLevel2X 4 3 3 2" xfId="48793" xr:uid="{00000000-0005-0000-0000-000048BF0000}"/>
    <cellStyle name="SAPBEXHLevel2X 4 3 3 2 2" xfId="48794" xr:uid="{00000000-0005-0000-0000-000049BF0000}"/>
    <cellStyle name="SAPBEXHLevel2X 4 3 3 2 2 2" xfId="48795" xr:uid="{00000000-0005-0000-0000-00004ABF0000}"/>
    <cellStyle name="SAPBEXHLevel2X 4 3 3 2 3" xfId="48796" xr:uid="{00000000-0005-0000-0000-00004BBF0000}"/>
    <cellStyle name="SAPBEXHLevel2X 4 3 3 3" xfId="48797" xr:uid="{00000000-0005-0000-0000-00004CBF0000}"/>
    <cellStyle name="SAPBEXHLevel2X 4 3 3 3 2" xfId="48798" xr:uid="{00000000-0005-0000-0000-00004DBF0000}"/>
    <cellStyle name="SAPBEXHLevel2X 4 3 3 4" xfId="48799" xr:uid="{00000000-0005-0000-0000-00004EBF0000}"/>
    <cellStyle name="SAPBEXHLevel2X 4 3 4" xfId="48800" xr:uid="{00000000-0005-0000-0000-00004FBF0000}"/>
    <cellStyle name="SAPBEXHLevel2X 4 3 4 2" xfId="48801" xr:uid="{00000000-0005-0000-0000-000050BF0000}"/>
    <cellStyle name="SAPBEXHLevel2X 4 3 4 2 2" xfId="48802" xr:uid="{00000000-0005-0000-0000-000051BF0000}"/>
    <cellStyle name="SAPBEXHLevel2X 4 3 4 3" xfId="48803" xr:uid="{00000000-0005-0000-0000-000052BF0000}"/>
    <cellStyle name="SAPBEXHLevel2X 4 3 5" xfId="48804" xr:uid="{00000000-0005-0000-0000-000053BF0000}"/>
    <cellStyle name="SAPBEXHLevel2X 4 3 5 2" xfId="48805" xr:uid="{00000000-0005-0000-0000-000054BF0000}"/>
    <cellStyle name="SAPBEXHLevel2X 4 3 5 2 2" xfId="48806" xr:uid="{00000000-0005-0000-0000-000055BF0000}"/>
    <cellStyle name="SAPBEXHLevel2X 4 3 5 3" xfId="48807" xr:uid="{00000000-0005-0000-0000-000056BF0000}"/>
    <cellStyle name="SAPBEXHLevel2X 4 3 6" xfId="48808" xr:uid="{00000000-0005-0000-0000-000057BF0000}"/>
    <cellStyle name="SAPBEXHLevel2X 4 3 6 2" xfId="48809" xr:uid="{00000000-0005-0000-0000-000058BF0000}"/>
    <cellStyle name="SAPBEXHLevel2X 4 3 7" xfId="48810" xr:uid="{00000000-0005-0000-0000-000059BF0000}"/>
    <cellStyle name="SAPBEXHLevel2X 4 4" xfId="48811" xr:uid="{00000000-0005-0000-0000-00005ABF0000}"/>
    <cellStyle name="SAPBEXHLevel2X 4 4 2" xfId="48812" xr:uid="{00000000-0005-0000-0000-00005BBF0000}"/>
    <cellStyle name="SAPBEXHLevel2X 4 4 2 2" xfId="48813" xr:uid="{00000000-0005-0000-0000-00005CBF0000}"/>
    <cellStyle name="SAPBEXHLevel2X 4 4 2 2 2" xfId="48814" xr:uid="{00000000-0005-0000-0000-00005DBF0000}"/>
    <cellStyle name="SAPBEXHLevel2X 4 4 2 3" xfId="48815" xr:uid="{00000000-0005-0000-0000-00005EBF0000}"/>
    <cellStyle name="SAPBEXHLevel2X 4 4 3" xfId="48816" xr:uid="{00000000-0005-0000-0000-00005FBF0000}"/>
    <cellStyle name="SAPBEXHLevel2X 4 4 3 2" xfId="48817" xr:uid="{00000000-0005-0000-0000-000060BF0000}"/>
    <cellStyle name="SAPBEXHLevel2X 4 4 4" xfId="48818" xr:uid="{00000000-0005-0000-0000-000061BF0000}"/>
    <cellStyle name="SAPBEXHLevel2X 4 5" xfId="48819" xr:uid="{00000000-0005-0000-0000-000062BF0000}"/>
    <cellStyle name="SAPBEXHLevel2X 4 5 2" xfId="48820" xr:uid="{00000000-0005-0000-0000-000063BF0000}"/>
    <cellStyle name="SAPBEXHLevel2X 4 5 2 2" xfId="48821" xr:uid="{00000000-0005-0000-0000-000064BF0000}"/>
    <cellStyle name="SAPBEXHLevel2X 4 5 3" xfId="48822" xr:uid="{00000000-0005-0000-0000-000065BF0000}"/>
    <cellStyle name="SAPBEXHLevel2X 4 6" xfId="48823" xr:uid="{00000000-0005-0000-0000-000066BF0000}"/>
    <cellStyle name="SAPBEXHLevel2X 4 6 2" xfId="48824" xr:uid="{00000000-0005-0000-0000-000067BF0000}"/>
    <cellStyle name="SAPBEXHLevel2X 4 6 2 2" xfId="48825" xr:uid="{00000000-0005-0000-0000-000068BF0000}"/>
    <cellStyle name="SAPBEXHLevel2X 4 6 3" xfId="48826" xr:uid="{00000000-0005-0000-0000-000069BF0000}"/>
    <cellStyle name="SAPBEXHLevel2X 4 7" xfId="48827" xr:uid="{00000000-0005-0000-0000-00006ABF0000}"/>
    <cellStyle name="SAPBEXHLevel2X 4 7 2" xfId="48828" xr:uid="{00000000-0005-0000-0000-00006BBF0000}"/>
    <cellStyle name="SAPBEXHLevel2X 4 8" xfId="48829" xr:uid="{00000000-0005-0000-0000-00006CBF0000}"/>
    <cellStyle name="SAPBEXHLevel2X 5" xfId="48830" xr:uid="{00000000-0005-0000-0000-00006DBF0000}"/>
    <cellStyle name="SAPBEXHLevel2X 5 2" xfId="48831" xr:uid="{00000000-0005-0000-0000-00006EBF0000}"/>
    <cellStyle name="SAPBEXHLevel2X 5 2 2" xfId="48832" xr:uid="{00000000-0005-0000-0000-00006FBF0000}"/>
    <cellStyle name="SAPBEXHLevel2X 5 2 2 2" xfId="48833" xr:uid="{00000000-0005-0000-0000-000070BF0000}"/>
    <cellStyle name="SAPBEXHLevel2X 5 2 3" xfId="48834" xr:uid="{00000000-0005-0000-0000-000071BF0000}"/>
    <cellStyle name="SAPBEXHLevel2X 5 3" xfId="48835" xr:uid="{00000000-0005-0000-0000-000072BF0000}"/>
    <cellStyle name="SAPBEXHLevel2X 5 3 2" xfId="48836" xr:uid="{00000000-0005-0000-0000-000073BF0000}"/>
    <cellStyle name="SAPBEXHLevel2X 5 3 2 2" xfId="48837" xr:uid="{00000000-0005-0000-0000-000074BF0000}"/>
    <cellStyle name="SAPBEXHLevel2X 5 3 3" xfId="48838" xr:uid="{00000000-0005-0000-0000-000075BF0000}"/>
    <cellStyle name="SAPBEXHLevel2X 5 4" xfId="48839" xr:uid="{00000000-0005-0000-0000-000076BF0000}"/>
    <cellStyle name="SAPBEXHLevel2X 5 4 2" xfId="48840" xr:uid="{00000000-0005-0000-0000-000077BF0000}"/>
    <cellStyle name="SAPBEXHLevel2X 5 4 2 2" xfId="48841" xr:uid="{00000000-0005-0000-0000-000078BF0000}"/>
    <cellStyle name="SAPBEXHLevel2X 5 4 3" xfId="48842" xr:uid="{00000000-0005-0000-0000-000079BF0000}"/>
    <cellStyle name="SAPBEXHLevel2X 5 5" xfId="48843" xr:uid="{00000000-0005-0000-0000-00007ABF0000}"/>
    <cellStyle name="SAPBEXHLevel2X 5 5 2" xfId="48844" xr:uid="{00000000-0005-0000-0000-00007BBF0000}"/>
    <cellStyle name="SAPBEXHLevel2X 5 6" xfId="48845" xr:uid="{00000000-0005-0000-0000-00007CBF0000}"/>
    <cellStyle name="SAPBEXHLevel2X 6" xfId="48846" xr:uid="{00000000-0005-0000-0000-00007DBF0000}"/>
    <cellStyle name="SAPBEXHLevel2X 6 2" xfId="48847" xr:uid="{00000000-0005-0000-0000-00007EBF0000}"/>
    <cellStyle name="SAPBEXHLevel2X 6 2 2" xfId="48848" xr:uid="{00000000-0005-0000-0000-00007FBF0000}"/>
    <cellStyle name="SAPBEXHLevel2X 6 3" xfId="48849" xr:uid="{00000000-0005-0000-0000-000080BF0000}"/>
    <cellStyle name="SAPBEXHLevel2X 6 3 2" xfId="48850" xr:uid="{00000000-0005-0000-0000-000081BF0000}"/>
    <cellStyle name="SAPBEXHLevel2X 6 3 2 2" xfId="48851" xr:uid="{00000000-0005-0000-0000-000082BF0000}"/>
    <cellStyle name="SAPBEXHLevel2X 6 3 3" xfId="48852" xr:uid="{00000000-0005-0000-0000-000083BF0000}"/>
    <cellStyle name="SAPBEXHLevel2X 6 4" xfId="48853" xr:uid="{00000000-0005-0000-0000-000084BF0000}"/>
    <cellStyle name="SAPBEXHLevel2X 6 4 2" xfId="48854" xr:uid="{00000000-0005-0000-0000-000085BF0000}"/>
    <cellStyle name="SAPBEXHLevel2X 6 4 2 2" xfId="48855" xr:uid="{00000000-0005-0000-0000-000086BF0000}"/>
    <cellStyle name="SAPBEXHLevel2X 6 4 3" xfId="48856" xr:uid="{00000000-0005-0000-0000-000087BF0000}"/>
    <cellStyle name="SAPBEXHLevel2X 6 5" xfId="48857" xr:uid="{00000000-0005-0000-0000-000088BF0000}"/>
    <cellStyle name="SAPBEXHLevel2X 7" xfId="48858" xr:uid="{00000000-0005-0000-0000-000089BF0000}"/>
    <cellStyle name="SAPBEXHLevel2X 7 2" xfId="48859" xr:uid="{00000000-0005-0000-0000-00008ABF0000}"/>
    <cellStyle name="SAPBEXHLevel2X 7 2 2" xfId="48860" xr:uid="{00000000-0005-0000-0000-00008BBF0000}"/>
    <cellStyle name="SAPBEXHLevel2X 7 2 2 2" xfId="48861" xr:uid="{00000000-0005-0000-0000-00008CBF0000}"/>
    <cellStyle name="SAPBEXHLevel2X 7 2 3" xfId="48862" xr:uid="{00000000-0005-0000-0000-00008DBF0000}"/>
    <cellStyle name="SAPBEXHLevel2X 7 2 3 2" xfId="48863" xr:uid="{00000000-0005-0000-0000-00008EBF0000}"/>
    <cellStyle name="SAPBEXHLevel2X 7 2 3 2 2" xfId="48864" xr:uid="{00000000-0005-0000-0000-00008FBF0000}"/>
    <cellStyle name="SAPBEXHLevel2X 7 2 3 3" xfId="48865" xr:uid="{00000000-0005-0000-0000-000090BF0000}"/>
    <cellStyle name="SAPBEXHLevel2X 7 2 4" xfId="48866" xr:uid="{00000000-0005-0000-0000-000091BF0000}"/>
    <cellStyle name="SAPBEXHLevel2X 7 3" xfId="48867" xr:uid="{00000000-0005-0000-0000-000092BF0000}"/>
    <cellStyle name="SAPBEXHLevel2X 7 3 2" xfId="48868" xr:uid="{00000000-0005-0000-0000-000093BF0000}"/>
    <cellStyle name="SAPBEXHLevel2X 7 3 2 2" xfId="48869" xr:uid="{00000000-0005-0000-0000-000094BF0000}"/>
    <cellStyle name="SAPBEXHLevel2X 7 3 3" xfId="48870" xr:uid="{00000000-0005-0000-0000-000095BF0000}"/>
    <cellStyle name="SAPBEXHLevel2X 7 4" xfId="48871" xr:uid="{00000000-0005-0000-0000-000096BF0000}"/>
    <cellStyle name="SAPBEXHLevel2X 7 4 2" xfId="48872" xr:uid="{00000000-0005-0000-0000-000097BF0000}"/>
    <cellStyle name="SAPBEXHLevel2X 7 4 2 2" xfId="48873" xr:uid="{00000000-0005-0000-0000-000098BF0000}"/>
    <cellStyle name="SAPBEXHLevel2X 7 4 3" xfId="48874" xr:uid="{00000000-0005-0000-0000-000099BF0000}"/>
    <cellStyle name="SAPBEXHLevel2X 7 5" xfId="48875" xr:uid="{00000000-0005-0000-0000-00009ABF0000}"/>
    <cellStyle name="SAPBEXHLevel2X 7 5 2" xfId="48876" xr:uid="{00000000-0005-0000-0000-00009BBF0000}"/>
    <cellStyle name="SAPBEXHLevel2X 7 5 2 2" xfId="48877" xr:uid="{00000000-0005-0000-0000-00009CBF0000}"/>
    <cellStyle name="SAPBEXHLevel2X 7 5 3" xfId="48878" xr:uid="{00000000-0005-0000-0000-00009DBF0000}"/>
    <cellStyle name="SAPBEXHLevel2X 7 6" xfId="48879" xr:uid="{00000000-0005-0000-0000-00009EBF0000}"/>
    <cellStyle name="SAPBEXHLevel2X 8" xfId="48880" xr:uid="{00000000-0005-0000-0000-00009FBF0000}"/>
    <cellStyle name="SAPBEXHLevel2X 8 2" xfId="48881" xr:uid="{00000000-0005-0000-0000-0000A0BF0000}"/>
    <cellStyle name="SAPBEXHLevel2X 8 2 2" xfId="48882" xr:uid="{00000000-0005-0000-0000-0000A1BF0000}"/>
    <cellStyle name="SAPBEXHLevel2X 8 2 2 2" xfId="48883" xr:uid="{00000000-0005-0000-0000-0000A2BF0000}"/>
    <cellStyle name="SAPBEXHLevel2X 8 2 3" xfId="48884" xr:uid="{00000000-0005-0000-0000-0000A3BF0000}"/>
    <cellStyle name="SAPBEXHLevel2X 8 3" xfId="48885" xr:uid="{00000000-0005-0000-0000-0000A4BF0000}"/>
    <cellStyle name="SAPBEXHLevel2X 8 3 2" xfId="48886" xr:uid="{00000000-0005-0000-0000-0000A5BF0000}"/>
    <cellStyle name="SAPBEXHLevel2X 8 3 2 2" xfId="48887" xr:uid="{00000000-0005-0000-0000-0000A6BF0000}"/>
    <cellStyle name="SAPBEXHLevel2X 8 3 3" xfId="48888" xr:uid="{00000000-0005-0000-0000-0000A7BF0000}"/>
    <cellStyle name="SAPBEXHLevel2X 8 4" xfId="48889" xr:uid="{00000000-0005-0000-0000-0000A8BF0000}"/>
    <cellStyle name="SAPBEXHLevel2X 8 4 2" xfId="48890" xr:uid="{00000000-0005-0000-0000-0000A9BF0000}"/>
    <cellStyle name="SAPBEXHLevel2X 8 5" xfId="48891" xr:uid="{00000000-0005-0000-0000-0000AABF0000}"/>
    <cellStyle name="SAPBEXHLevel2X 9" xfId="48892" xr:uid="{00000000-0005-0000-0000-0000ABBF0000}"/>
    <cellStyle name="SAPBEXHLevel2X 9 2" xfId="48893" xr:uid="{00000000-0005-0000-0000-0000ACBF0000}"/>
    <cellStyle name="SAPBEXHLevel2X 9 2 2" xfId="48894" xr:uid="{00000000-0005-0000-0000-0000ADBF0000}"/>
    <cellStyle name="SAPBEXHLevel2X 9 2 2 2" xfId="48895" xr:uid="{00000000-0005-0000-0000-0000AEBF0000}"/>
    <cellStyle name="SAPBEXHLevel2X 9 2 2 2 2" xfId="48896" xr:uid="{00000000-0005-0000-0000-0000AFBF0000}"/>
    <cellStyle name="SAPBEXHLevel2X 9 2 2 3" xfId="48897" xr:uid="{00000000-0005-0000-0000-0000B0BF0000}"/>
    <cellStyle name="SAPBEXHLevel2X 9 2 3" xfId="48898" xr:uid="{00000000-0005-0000-0000-0000B1BF0000}"/>
    <cellStyle name="SAPBEXHLevel2X 9 2 3 2" xfId="48899" xr:uid="{00000000-0005-0000-0000-0000B2BF0000}"/>
    <cellStyle name="SAPBEXHLevel2X 9 2 4" xfId="48900" xr:uid="{00000000-0005-0000-0000-0000B3BF0000}"/>
    <cellStyle name="SAPBEXHLevel2X 9 3" xfId="48901" xr:uid="{00000000-0005-0000-0000-0000B4BF0000}"/>
    <cellStyle name="SAPBEXHLevel2X 9 3 2" xfId="48902" xr:uid="{00000000-0005-0000-0000-0000B5BF0000}"/>
    <cellStyle name="SAPBEXHLevel2X 9 3 2 2" xfId="48903" xr:uid="{00000000-0005-0000-0000-0000B6BF0000}"/>
    <cellStyle name="SAPBEXHLevel2X 9 3 2 2 2" xfId="48904" xr:uid="{00000000-0005-0000-0000-0000B7BF0000}"/>
    <cellStyle name="SAPBEXHLevel2X 9 3 2 2 2 2" xfId="48905" xr:uid="{00000000-0005-0000-0000-0000B8BF0000}"/>
    <cellStyle name="SAPBEXHLevel2X 9 3 2 2 3" xfId="48906" xr:uid="{00000000-0005-0000-0000-0000B9BF0000}"/>
    <cellStyle name="SAPBEXHLevel2X 9 3 2 3" xfId="48907" xr:uid="{00000000-0005-0000-0000-0000BABF0000}"/>
    <cellStyle name="SAPBEXHLevel2X 9 3 2 3 2" xfId="48908" xr:uid="{00000000-0005-0000-0000-0000BBBF0000}"/>
    <cellStyle name="SAPBEXHLevel2X 9 3 2 4" xfId="48909" xr:uid="{00000000-0005-0000-0000-0000BCBF0000}"/>
    <cellStyle name="SAPBEXHLevel2X 9 3 3" xfId="48910" xr:uid="{00000000-0005-0000-0000-0000BDBF0000}"/>
    <cellStyle name="SAPBEXHLevel2X 9 3 3 2" xfId="48911" xr:uid="{00000000-0005-0000-0000-0000BEBF0000}"/>
    <cellStyle name="SAPBEXHLevel2X 9 3 3 2 2" xfId="48912" xr:uid="{00000000-0005-0000-0000-0000BFBF0000}"/>
    <cellStyle name="SAPBEXHLevel2X 9 3 3 3" xfId="48913" xr:uid="{00000000-0005-0000-0000-0000C0BF0000}"/>
    <cellStyle name="SAPBEXHLevel2X 9 3 4" xfId="48914" xr:uid="{00000000-0005-0000-0000-0000C1BF0000}"/>
    <cellStyle name="SAPBEXHLevel2X 9 3 4 2" xfId="48915" xr:uid="{00000000-0005-0000-0000-0000C2BF0000}"/>
    <cellStyle name="SAPBEXHLevel2X 9 3 5" xfId="48916" xr:uid="{00000000-0005-0000-0000-0000C3BF0000}"/>
    <cellStyle name="SAPBEXHLevel2X 9 4" xfId="48917" xr:uid="{00000000-0005-0000-0000-0000C4BF0000}"/>
    <cellStyle name="SAPBEXHLevel2X 9 4 2" xfId="48918" xr:uid="{00000000-0005-0000-0000-0000C5BF0000}"/>
    <cellStyle name="SAPBEXHLevel2X 9 4 2 2" xfId="48919" xr:uid="{00000000-0005-0000-0000-0000C6BF0000}"/>
    <cellStyle name="SAPBEXHLevel2X 9 4 3" xfId="48920" xr:uid="{00000000-0005-0000-0000-0000C7BF0000}"/>
    <cellStyle name="SAPBEXHLevel2X 9 5" xfId="48921" xr:uid="{00000000-0005-0000-0000-0000C8BF0000}"/>
    <cellStyle name="SAPBEXHLevel2X 9 5 2" xfId="48922" xr:uid="{00000000-0005-0000-0000-0000C9BF0000}"/>
    <cellStyle name="SAPBEXHLevel2X 9 5 2 2" xfId="48923" xr:uid="{00000000-0005-0000-0000-0000CABF0000}"/>
    <cellStyle name="SAPBEXHLevel2X 9 5 3" xfId="48924" xr:uid="{00000000-0005-0000-0000-0000CBBF0000}"/>
    <cellStyle name="SAPBEXHLevel2X 9 6" xfId="48925" xr:uid="{00000000-0005-0000-0000-0000CCBF0000}"/>
    <cellStyle name="SAPBEXHLevel2X 9 6 2" xfId="48926" xr:uid="{00000000-0005-0000-0000-0000CDBF0000}"/>
    <cellStyle name="SAPBEXHLevel2X 9 7" xfId="48927" xr:uid="{00000000-0005-0000-0000-0000CEBF0000}"/>
    <cellStyle name="SAPBEXHLevel3" xfId="66" xr:uid="{00000000-0005-0000-0000-0000CFBF0000}"/>
    <cellStyle name="SAPBEXHLevel3 10" xfId="48928" xr:uid="{00000000-0005-0000-0000-0000D0BF0000}"/>
    <cellStyle name="SAPBEXHLevel3 10 2" xfId="48929" xr:uid="{00000000-0005-0000-0000-0000D1BF0000}"/>
    <cellStyle name="SAPBEXHLevel3 10 2 2" xfId="48930" xr:uid="{00000000-0005-0000-0000-0000D2BF0000}"/>
    <cellStyle name="SAPBEXHLevel3 10 3" xfId="48931" xr:uid="{00000000-0005-0000-0000-0000D3BF0000}"/>
    <cellStyle name="SAPBEXHLevel3 11" xfId="48932" xr:uid="{00000000-0005-0000-0000-0000D4BF0000}"/>
    <cellStyle name="SAPBEXHLevel3 11 2" xfId="48933" xr:uid="{00000000-0005-0000-0000-0000D5BF0000}"/>
    <cellStyle name="SAPBEXHLevel3 12" xfId="48934" xr:uid="{00000000-0005-0000-0000-0000D6BF0000}"/>
    <cellStyle name="SAPBEXHLevel3 12 2" xfId="48935" xr:uid="{00000000-0005-0000-0000-0000D7BF0000}"/>
    <cellStyle name="SAPBEXHLevel3 12 2 2" xfId="48936" xr:uid="{00000000-0005-0000-0000-0000D8BF0000}"/>
    <cellStyle name="SAPBEXHLevel3 12 3" xfId="48937" xr:uid="{00000000-0005-0000-0000-0000D9BF0000}"/>
    <cellStyle name="SAPBEXHLevel3 12 3 2" xfId="48938" xr:uid="{00000000-0005-0000-0000-0000DABF0000}"/>
    <cellStyle name="SAPBEXHLevel3 12 4" xfId="48939" xr:uid="{00000000-0005-0000-0000-0000DBBF0000}"/>
    <cellStyle name="SAPBEXHLevel3 13" xfId="48940" xr:uid="{00000000-0005-0000-0000-0000DCBF0000}"/>
    <cellStyle name="SAPBEXHLevel3 13 2" xfId="48941" xr:uid="{00000000-0005-0000-0000-0000DDBF0000}"/>
    <cellStyle name="SAPBEXHLevel3 14" xfId="48942" xr:uid="{00000000-0005-0000-0000-0000DEBF0000}"/>
    <cellStyle name="SAPBEXHLevel3 14 2" xfId="48943" xr:uid="{00000000-0005-0000-0000-0000DFBF0000}"/>
    <cellStyle name="SAPBEXHLevel3 14 3" xfId="48944" xr:uid="{00000000-0005-0000-0000-0000E0BF0000}"/>
    <cellStyle name="SAPBEXHLevel3 15" xfId="48945" xr:uid="{00000000-0005-0000-0000-0000E1BF0000}"/>
    <cellStyle name="SAPBEXHLevel3 15 2" xfId="48946" xr:uid="{00000000-0005-0000-0000-0000E2BF0000}"/>
    <cellStyle name="SAPBEXHLevel3 16" xfId="48947" xr:uid="{00000000-0005-0000-0000-0000E3BF0000}"/>
    <cellStyle name="SAPBEXHLevel3 16 2" xfId="48948" xr:uid="{00000000-0005-0000-0000-0000E4BF0000}"/>
    <cellStyle name="SAPBEXHLevel3 17" xfId="48949" xr:uid="{00000000-0005-0000-0000-0000E5BF0000}"/>
    <cellStyle name="SAPBEXHLevel3 18" xfId="48950" xr:uid="{00000000-0005-0000-0000-0000E6BF0000}"/>
    <cellStyle name="SAPBEXHLevel3 2" xfId="90" xr:uid="{00000000-0005-0000-0000-0000E7BF0000}"/>
    <cellStyle name="SAPBEXHLevel3 2 2" xfId="48951" xr:uid="{00000000-0005-0000-0000-0000E8BF0000}"/>
    <cellStyle name="SAPBEXHLevel3 2 2 2" xfId="48952" xr:uid="{00000000-0005-0000-0000-0000E9BF0000}"/>
    <cellStyle name="SAPBEXHLevel3 2 2 2 2" xfId="48953" xr:uid="{00000000-0005-0000-0000-0000EABF0000}"/>
    <cellStyle name="SAPBEXHLevel3 2 2 2 2 2" xfId="48954" xr:uid="{00000000-0005-0000-0000-0000EBBF0000}"/>
    <cellStyle name="SAPBEXHLevel3 2 2 2 3" xfId="48955" xr:uid="{00000000-0005-0000-0000-0000ECBF0000}"/>
    <cellStyle name="SAPBEXHLevel3 2 2 3" xfId="48956" xr:uid="{00000000-0005-0000-0000-0000EDBF0000}"/>
    <cellStyle name="SAPBEXHLevel3 2 2 3 2" xfId="48957" xr:uid="{00000000-0005-0000-0000-0000EEBF0000}"/>
    <cellStyle name="SAPBEXHLevel3 2 2 3 2 2" xfId="48958" xr:uid="{00000000-0005-0000-0000-0000EFBF0000}"/>
    <cellStyle name="SAPBEXHLevel3 2 2 3 3" xfId="48959" xr:uid="{00000000-0005-0000-0000-0000F0BF0000}"/>
    <cellStyle name="SAPBEXHLevel3 2 2 4" xfId="48960" xr:uid="{00000000-0005-0000-0000-0000F1BF0000}"/>
    <cellStyle name="SAPBEXHLevel3 2 2 4 2" xfId="48961" xr:uid="{00000000-0005-0000-0000-0000F2BF0000}"/>
    <cellStyle name="SAPBEXHLevel3 2 2 4 2 2" xfId="48962" xr:uid="{00000000-0005-0000-0000-0000F3BF0000}"/>
    <cellStyle name="SAPBEXHLevel3 2 2 4 3" xfId="48963" xr:uid="{00000000-0005-0000-0000-0000F4BF0000}"/>
    <cellStyle name="SAPBEXHLevel3 2 2 5" xfId="48964" xr:uid="{00000000-0005-0000-0000-0000F5BF0000}"/>
    <cellStyle name="SAPBEXHLevel3 2 2 5 2" xfId="48965" xr:uid="{00000000-0005-0000-0000-0000F6BF0000}"/>
    <cellStyle name="SAPBEXHLevel3 2 2 6" xfId="48966" xr:uid="{00000000-0005-0000-0000-0000F7BF0000}"/>
    <cellStyle name="SAPBEXHLevel3 2 3" xfId="48967" xr:uid="{00000000-0005-0000-0000-0000F8BF0000}"/>
    <cellStyle name="SAPBEXHLevel3 2 3 2" xfId="48968" xr:uid="{00000000-0005-0000-0000-0000F9BF0000}"/>
    <cellStyle name="SAPBEXHLevel3 2 3 2 2" xfId="48969" xr:uid="{00000000-0005-0000-0000-0000FABF0000}"/>
    <cellStyle name="SAPBEXHLevel3 2 3 2 2 2" xfId="48970" xr:uid="{00000000-0005-0000-0000-0000FBBF0000}"/>
    <cellStyle name="SAPBEXHLevel3 2 3 2 2 2 2" xfId="48971" xr:uid="{00000000-0005-0000-0000-0000FCBF0000}"/>
    <cellStyle name="SAPBEXHLevel3 2 3 2 2 3" xfId="48972" xr:uid="{00000000-0005-0000-0000-0000FDBF0000}"/>
    <cellStyle name="SAPBEXHLevel3 2 3 2 3" xfId="48973" xr:uid="{00000000-0005-0000-0000-0000FEBF0000}"/>
    <cellStyle name="SAPBEXHLevel3 2 3 2 3 2" xfId="48974" xr:uid="{00000000-0005-0000-0000-0000FFBF0000}"/>
    <cellStyle name="SAPBEXHLevel3 2 3 2 3 2 2" xfId="48975" xr:uid="{00000000-0005-0000-0000-000000C00000}"/>
    <cellStyle name="SAPBEXHLevel3 2 3 2 3 3" xfId="48976" xr:uid="{00000000-0005-0000-0000-000001C00000}"/>
    <cellStyle name="SAPBEXHLevel3 2 3 2 4" xfId="48977" xr:uid="{00000000-0005-0000-0000-000002C00000}"/>
    <cellStyle name="SAPBEXHLevel3 2 3 2 4 2" xfId="48978" xr:uid="{00000000-0005-0000-0000-000003C00000}"/>
    <cellStyle name="SAPBEXHLevel3 2 3 2 5" xfId="48979" xr:uid="{00000000-0005-0000-0000-000004C00000}"/>
    <cellStyle name="SAPBEXHLevel3 2 3 3" xfId="48980" xr:uid="{00000000-0005-0000-0000-000005C00000}"/>
    <cellStyle name="SAPBEXHLevel3 2 3 3 2" xfId="48981" xr:uid="{00000000-0005-0000-0000-000006C00000}"/>
    <cellStyle name="SAPBEXHLevel3 2 3 3 2 2" xfId="48982" xr:uid="{00000000-0005-0000-0000-000007C00000}"/>
    <cellStyle name="SAPBEXHLevel3 2 3 3 2 2 2" xfId="48983" xr:uid="{00000000-0005-0000-0000-000008C00000}"/>
    <cellStyle name="SAPBEXHLevel3 2 3 3 2 3" xfId="48984" xr:uid="{00000000-0005-0000-0000-000009C00000}"/>
    <cellStyle name="SAPBEXHLevel3 2 3 3 3" xfId="48985" xr:uid="{00000000-0005-0000-0000-00000AC00000}"/>
    <cellStyle name="SAPBEXHLevel3 2 3 3 3 2" xfId="48986" xr:uid="{00000000-0005-0000-0000-00000BC00000}"/>
    <cellStyle name="SAPBEXHLevel3 2 3 3 4" xfId="48987" xr:uid="{00000000-0005-0000-0000-00000CC00000}"/>
    <cellStyle name="SAPBEXHLevel3 2 3 4" xfId="48988" xr:uid="{00000000-0005-0000-0000-00000DC00000}"/>
    <cellStyle name="SAPBEXHLevel3 2 3 4 2" xfId="48989" xr:uid="{00000000-0005-0000-0000-00000EC00000}"/>
    <cellStyle name="SAPBEXHLevel3 2 3 4 2 2" xfId="48990" xr:uid="{00000000-0005-0000-0000-00000FC00000}"/>
    <cellStyle name="SAPBEXHLevel3 2 3 4 3" xfId="48991" xr:uid="{00000000-0005-0000-0000-000010C00000}"/>
    <cellStyle name="SAPBEXHLevel3 2 3 5" xfId="48992" xr:uid="{00000000-0005-0000-0000-000011C00000}"/>
    <cellStyle name="SAPBEXHLevel3 2 3 5 2" xfId="48993" xr:uid="{00000000-0005-0000-0000-000012C00000}"/>
    <cellStyle name="SAPBEXHLevel3 2 3 5 2 2" xfId="48994" xr:uid="{00000000-0005-0000-0000-000013C00000}"/>
    <cellStyle name="SAPBEXHLevel3 2 3 5 3" xfId="48995" xr:uid="{00000000-0005-0000-0000-000014C00000}"/>
    <cellStyle name="SAPBEXHLevel3 2 3 6" xfId="48996" xr:uid="{00000000-0005-0000-0000-000015C00000}"/>
    <cellStyle name="SAPBEXHLevel3 2 3 6 2" xfId="48997" xr:uid="{00000000-0005-0000-0000-000016C00000}"/>
    <cellStyle name="SAPBEXHLevel3 2 3 7" xfId="48998" xr:uid="{00000000-0005-0000-0000-000017C00000}"/>
    <cellStyle name="SAPBEXHLevel3 2 4" xfId="48999" xr:uid="{00000000-0005-0000-0000-000018C00000}"/>
    <cellStyle name="SAPBEXHLevel3 2 4 2" xfId="49000" xr:uid="{00000000-0005-0000-0000-000019C00000}"/>
    <cellStyle name="SAPBEXHLevel3 2 4 2 2" xfId="49001" xr:uid="{00000000-0005-0000-0000-00001AC00000}"/>
    <cellStyle name="SAPBEXHLevel3 2 4 2 2 2" xfId="49002" xr:uid="{00000000-0005-0000-0000-00001BC00000}"/>
    <cellStyle name="SAPBEXHLevel3 2 4 2 2 2 2" xfId="49003" xr:uid="{00000000-0005-0000-0000-00001CC00000}"/>
    <cellStyle name="SAPBEXHLevel3 2 4 2 2 2 2 2" xfId="49004" xr:uid="{00000000-0005-0000-0000-00001DC00000}"/>
    <cellStyle name="SAPBEXHLevel3 2 4 2 2 2 2 2 2" xfId="49005" xr:uid="{00000000-0005-0000-0000-00001EC00000}"/>
    <cellStyle name="SAPBEXHLevel3 2 4 2 2 2 2 3" xfId="49006" xr:uid="{00000000-0005-0000-0000-00001FC00000}"/>
    <cellStyle name="SAPBEXHLevel3 2 4 2 2 2 3" xfId="49007" xr:uid="{00000000-0005-0000-0000-000020C00000}"/>
    <cellStyle name="SAPBEXHLevel3 2 4 2 2 2 3 2" xfId="49008" xr:uid="{00000000-0005-0000-0000-000021C00000}"/>
    <cellStyle name="SAPBEXHLevel3 2 4 2 2 2 4" xfId="49009" xr:uid="{00000000-0005-0000-0000-000022C00000}"/>
    <cellStyle name="SAPBEXHLevel3 2 4 2 2 3" xfId="49010" xr:uid="{00000000-0005-0000-0000-000023C00000}"/>
    <cellStyle name="SAPBEXHLevel3 2 4 2 2 3 2" xfId="49011" xr:uid="{00000000-0005-0000-0000-000024C00000}"/>
    <cellStyle name="SAPBEXHLevel3 2 4 2 2 3 2 2" xfId="49012" xr:uid="{00000000-0005-0000-0000-000025C00000}"/>
    <cellStyle name="SAPBEXHLevel3 2 4 2 2 3 3" xfId="49013" xr:uid="{00000000-0005-0000-0000-000026C00000}"/>
    <cellStyle name="SAPBEXHLevel3 2 4 2 2 4" xfId="49014" xr:uid="{00000000-0005-0000-0000-000027C00000}"/>
    <cellStyle name="SAPBEXHLevel3 2 4 2 2 4 2" xfId="49015" xr:uid="{00000000-0005-0000-0000-000028C00000}"/>
    <cellStyle name="SAPBEXHLevel3 2 4 2 2 5" xfId="49016" xr:uid="{00000000-0005-0000-0000-000029C00000}"/>
    <cellStyle name="SAPBEXHLevel3 2 4 2 3" xfId="49017" xr:uid="{00000000-0005-0000-0000-00002AC00000}"/>
    <cellStyle name="SAPBEXHLevel3 2 4 2 3 2" xfId="49018" xr:uid="{00000000-0005-0000-0000-00002BC00000}"/>
    <cellStyle name="SAPBEXHLevel3 2 4 2 3 2 2" xfId="49019" xr:uid="{00000000-0005-0000-0000-00002CC00000}"/>
    <cellStyle name="SAPBEXHLevel3 2 4 2 3 3" xfId="49020" xr:uid="{00000000-0005-0000-0000-00002DC00000}"/>
    <cellStyle name="SAPBEXHLevel3 2 4 2 4" xfId="49021" xr:uid="{00000000-0005-0000-0000-00002EC00000}"/>
    <cellStyle name="SAPBEXHLevel3 2 4 2 4 2" xfId="49022" xr:uid="{00000000-0005-0000-0000-00002FC00000}"/>
    <cellStyle name="SAPBEXHLevel3 2 4 2 4 2 2" xfId="49023" xr:uid="{00000000-0005-0000-0000-000030C00000}"/>
    <cellStyle name="SAPBEXHLevel3 2 4 2 4 2 2 2" xfId="49024" xr:uid="{00000000-0005-0000-0000-000031C00000}"/>
    <cellStyle name="SAPBEXHLevel3 2 4 2 4 2 3" xfId="49025" xr:uid="{00000000-0005-0000-0000-000032C00000}"/>
    <cellStyle name="SAPBEXHLevel3 2 4 2 4 3" xfId="49026" xr:uid="{00000000-0005-0000-0000-000033C00000}"/>
    <cellStyle name="SAPBEXHLevel3 2 4 2 4 3 2" xfId="49027" xr:uid="{00000000-0005-0000-0000-000034C00000}"/>
    <cellStyle name="SAPBEXHLevel3 2 4 2 4 4" xfId="49028" xr:uid="{00000000-0005-0000-0000-000035C00000}"/>
    <cellStyle name="SAPBEXHLevel3 2 4 2 5" xfId="49029" xr:uid="{00000000-0005-0000-0000-000036C00000}"/>
    <cellStyle name="SAPBEXHLevel3 2 4 2 5 2" xfId="49030" xr:uid="{00000000-0005-0000-0000-000037C00000}"/>
    <cellStyle name="SAPBEXHLevel3 2 4 2 5 2 2" xfId="49031" xr:uid="{00000000-0005-0000-0000-000038C00000}"/>
    <cellStyle name="SAPBEXHLevel3 2 4 2 5 3" xfId="49032" xr:uid="{00000000-0005-0000-0000-000039C00000}"/>
    <cellStyle name="SAPBEXHLevel3 2 4 2 6" xfId="49033" xr:uid="{00000000-0005-0000-0000-00003AC00000}"/>
    <cellStyle name="SAPBEXHLevel3 2 4 2 6 2" xfId="49034" xr:uid="{00000000-0005-0000-0000-00003BC00000}"/>
    <cellStyle name="SAPBEXHLevel3 2 4 2 7" xfId="49035" xr:uid="{00000000-0005-0000-0000-00003CC00000}"/>
    <cellStyle name="SAPBEXHLevel3 2 4 3" xfId="49036" xr:uid="{00000000-0005-0000-0000-00003DC00000}"/>
    <cellStyle name="SAPBEXHLevel3 2 4 3 2" xfId="49037" xr:uid="{00000000-0005-0000-0000-00003EC00000}"/>
    <cellStyle name="SAPBEXHLevel3 2 4 3 2 2" xfId="49038" xr:uid="{00000000-0005-0000-0000-00003FC00000}"/>
    <cellStyle name="SAPBEXHLevel3 2 4 3 2 2 2" xfId="49039" xr:uid="{00000000-0005-0000-0000-000040C00000}"/>
    <cellStyle name="SAPBEXHLevel3 2 4 3 2 2 2 2" xfId="49040" xr:uid="{00000000-0005-0000-0000-000041C00000}"/>
    <cellStyle name="SAPBEXHLevel3 2 4 3 2 2 2 2 2" xfId="49041" xr:uid="{00000000-0005-0000-0000-000042C00000}"/>
    <cellStyle name="SAPBEXHLevel3 2 4 3 2 2 2 3" xfId="49042" xr:uid="{00000000-0005-0000-0000-000043C00000}"/>
    <cellStyle name="SAPBEXHLevel3 2 4 3 2 2 3" xfId="49043" xr:uid="{00000000-0005-0000-0000-000044C00000}"/>
    <cellStyle name="SAPBEXHLevel3 2 4 3 2 2 3 2" xfId="49044" xr:uid="{00000000-0005-0000-0000-000045C00000}"/>
    <cellStyle name="SAPBEXHLevel3 2 4 3 2 2 4" xfId="49045" xr:uid="{00000000-0005-0000-0000-000046C00000}"/>
    <cellStyle name="SAPBEXHLevel3 2 4 3 2 3" xfId="49046" xr:uid="{00000000-0005-0000-0000-000047C00000}"/>
    <cellStyle name="SAPBEXHLevel3 2 4 3 2 3 2" xfId="49047" xr:uid="{00000000-0005-0000-0000-000048C00000}"/>
    <cellStyle name="SAPBEXHLevel3 2 4 3 2 3 2 2" xfId="49048" xr:uid="{00000000-0005-0000-0000-000049C00000}"/>
    <cellStyle name="SAPBEXHLevel3 2 4 3 2 3 3" xfId="49049" xr:uid="{00000000-0005-0000-0000-00004AC00000}"/>
    <cellStyle name="SAPBEXHLevel3 2 4 3 2 4" xfId="49050" xr:uid="{00000000-0005-0000-0000-00004BC00000}"/>
    <cellStyle name="SAPBEXHLevel3 2 4 3 2 4 2" xfId="49051" xr:uid="{00000000-0005-0000-0000-00004CC00000}"/>
    <cellStyle name="SAPBEXHLevel3 2 4 3 2 5" xfId="49052" xr:uid="{00000000-0005-0000-0000-00004DC00000}"/>
    <cellStyle name="SAPBEXHLevel3 2 4 3 3" xfId="49053" xr:uid="{00000000-0005-0000-0000-00004EC00000}"/>
    <cellStyle name="SAPBEXHLevel3 2 4 3 3 2" xfId="49054" xr:uid="{00000000-0005-0000-0000-00004FC00000}"/>
    <cellStyle name="SAPBEXHLevel3 2 4 3 3 2 2" xfId="49055" xr:uid="{00000000-0005-0000-0000-000050C00000}"/>
    <cellStyle name="SAPBEXHLevel3 2 4 3 3 2 2 2" xfId="49056" xr:uid="{00000000-0005-0000-0000-000051C00000}"/>
    <cellStyle name="SAPBEXHLevel3 2 4 3 3 2 3" xfId="49057" xr:uid="{00000000-0005-0000-0000-000052C00000}"/>
    <cellStyle name="SAPBEXHLevel3 2 4 3 3 3" xfId="49058" xr:uid="{00000000-0005-0000-0000-000053C00000}"/>
    <cellStyle name="SAPBEXHLevel3 2 4 3 3 3 2" xfId="49059" xr:uid="{00000000-0005-0000-0000-000054C00000}"/>
    <cellStyle name="SAPBEXHLevel3 2 4 3 3 4" xfId="49060" xr:uid="{00000000-0005-0000-0000-000055C00000}"/>
    <cellStyle name="SAPBEXHLevel3 2 4 3 4" xfId="49061" xr:uid="{00000000-0005-0000-0000-000056C00000}"/>
    <cellStyle name="SAPBEXHLevel3 2 4 3 4 2" xfId="49062" xr:uid="{00000000-0005-0000-0000-000057C00000}"/>
    <cellStyle name="SAPBEXHLevel3 2 4 3 4 2 2" xfId="49063" xr:uid="{00000000-0005-0000-0000-000058C00000}"/>
    <cellStyle name="SAPBEXHLevel3 2 4 3 4 3" xfId="49064" xr:uid="{00000000-0005-0000-0000-000059C00000}"/>
    <cellStyle name="SAPBEXHLevel3 2 4 3 5" xfId="49065" xr:uid="{00000000-0005-0000-0000-00005AC00000}"/>
    <cellStyle name="SAPBEXHLevel3 2 4 3 5 2" xfId="49066" xr:uid="{00000000-0005-0000-0000-00005BC00000}"/>
    <cellStyle name="SAPBEXHLevel3 2 4 3 6" xfId="49067" xr:uid="{00000000-0005-0000-0000-00005CC00000}"/>
    <cellStyle name="SAPBEXHLevel3 2 4 4" xfId="49068" xr:uid="{00000000-0005-0000-0000-00005DC00000}"/>
    <cellStyle name="SAPBEXHLevel3 2 4 4 2" xfId="49069" xr:uid="{00000000-0005-0000-0000-00005EC00000}"/>
    <cellStyle name="SAPBEXHLevel3 2 4 4 2 2" xfId="49070" xr:uid="{00000000-0005-0000-0000-00005FC00000}"/>
    <cellStyle name="SAPBEXHLevel3 2 4 4 3" xfId="49071" xr:uid="{00000000-0005-0000-0000-000060C00000}"/>
    <cellStyle name="SAPBEXHLevel3 2 4 5" xfId="49072" xr:uid="{00000000-0005-0000-0000-000061C00000}"/>
    <cellStyle name="SAPBEXHLevel3 2 4 5 2" xfId="49073" xr:uid="{00000000-0005-0000-0000-000062C00000}"/>
    <cellStyle name="SAPBEXHLevel3 2 4 5 2 2" xfId="49074" xr:uid="{00000000-0005-0000-0000-000063C00000}"/>
    <cellStyle name="SAPBEXHLevel3 2 4 5 2 2 2" xfId="49075" xr:uid="{00000000-0005-0000-0000-000064C00000}"/>
    <cellStyle name="SAPBEXHLevel3 2 4 5 2 3" xfId="49076" xr:uid="{00000000-0005-0000-0000-000065C00000}"/>
    <cellStyle name="SAPBEXHLevel3 2 4 5 3" xfId="49077" xr:uid="{00000000-0005-0000-0000-000066C00000}"/>
    <cellStyle name="SAPBEXHLevel3 2 4 5 3 2" xfId="49078" xr:uid="{00000000-0005-0000-0000-000067C00000}"/>
    <cellStyle name="SAPBEXHLevel3 2 4 5 4" xfId="49079" xr:uid="{00000000-0005-0000-0000-000068C00000}"/>
    <cellStyle name="SAPBEXHLevel3 2 4 6" xfId="49080" xr:uid="{00000000-0005-0000-0000-000069C00000}"/>
    <cellStyle name="SAPBEXHLevel3 2 4 6 2" xfId="49081" xr:uid="{00000000-0005-0000-0000-00006AC00000}"/>
    <cellStyle name="SAPBEXHLevel3 2 4 6 2 2" xfId="49082" xr:uid="{00000000-0005-0000-0000-00006BC00000}"/>
    <cellStyle name="SAPBEXHLevel3 2 4 6 3" xfId="49083" xr:uid="{00000000-0005-0000-0000-00006CC00000}"/>
    <cellStyle name="SAPBEXHLevel3 2 4 7" xfId="49084" xr:uid="{00000000-0005-0000-0000-00006DC00000}"/>
    <cellStyle name="SAPBEXHLevel3 2 4 7 2" xfId="49085" xr:uid="{00000000-0005-0000-0000-00006EC00000}"/>
    <cellStyle name="SAPBEXHLevel3 2 4 8" xfId="49086" xr:uid="{00000000-0005-0000-0000-00006FC00000}"/>
    <cellStyle name="SAPBEXHLevel3 2 5" xfId="49087" xr:uid="{00000000-0005-0000-0000-000070C00000}"/>
    <cellStyle name="SAPBEXHLevel3 2 5 2" xfId="49088" xr:uid="{00000000-0005-0000-0000-000071C00000}"/>
    <cellStyle name="SAPBEXHLevel3 2 5 2 2" xfId="49089" xr:uid="{00000000-0005-0000-0000-000072C00000}"/>
    <cellStyle name="SAPBEXHLevel3 2 5 2 2 2" xfId="49090" xr:uid="{00000000-0005-0000-0000-000073C00000}"/>
    <cellStyle name="SAPBEXHLevel3 2 5 2 3" xfId="49091" xr:uid="{00000000-0005-0000-0000-000074C00000}"/>
    <cellStyle name="SAPBEXHLevel3 2 5 3" xfId="49092" xr:uid="{00000000-0005-0000-0000-000075C00000}"/>
    <cellStyle name="SAPBEXHLevel3 2 5 3 2" xfId="49093" xr:uid="{00000000-0005-0000-0000-000076C00000}"/>
    <cellStyle name="SAPBEXHLevel3 2 5 4" xfId="49094" xr:uid="{00000000-0005-0000-0000-000077C00000}"/>
    <cellStyle name="SAPBEXHLevel3 2 6" xfId="49095" xr:uid="{00000000-0005-0000-0000-000078C00000}"/>
    <cellStyle name="SAPBEXHLevel3 2 6 2" xfId="49096" xr:uid="{00000000-0005-0000-0000-000079C00000}"/>
    <cellStyle name="SAPBEXHLevel3 2 6 2 2" xfId="49097" xr:uid="{00000000-0005-0000-0000-00007AC00000}"/>
    <cellStyle name="SAPBEXHLevel3 2 6 3" xfId="49098" xr:uid="{00000000-0005-0000-0000-00007BC00000}"/>
    <cellStyle name="SAPBEXHLevel3 2 7" xfId="49099" xr:uid="{00000000-0005-0000-0000-00007CC00000}"/>
    <cellStyle name="SAPBEXHLevel3 2 7 2" xfId="49100" xr:uid="{00000000-0005-0000-0000-00007DC00000}"/>
    <cellStyle name="SAPBEXHLevel3 2 7 2 2" xfId="49101" xr:uid="{00000000-0005-0000-0000-00007EC00000}"/>
    <cellStyle name="SAPBEXHLevel3 2 7 3" xfId="49102" xr:uid="{00000000-0005-0000-0000-00007FC00000}"/>
    <cellStyle name="SAPBEXHLevel3 2 8" xfId="49103" xr:uid="{00000000-0005-0000-0000-000080C00000}"/>
    <cellStyle name="SAPBEXHLevel3 2 8 2" xfId="49104" xr:uid="{00000000-0005-0000-0000-000081C00000}"/>
    <cellStyle name="SAPBEXHLevel3 2 9" xfId="49105" xr:uid="{00000000-0005-0000-0000-000082C00000}"/>
    <cellStyle name="SAPBEXHLevel3 3" xfId="49106" xr:uid="{00000000-0005-0000-0000-000083C00000}"/>
    <cellStyle name="SAPBEXHLevel3 3 2" xfId="49107" xr:uid="{00000000-0005-0000-0000-000084C00000}"/>
    <cellStyle name="SAPBEXHLevel3 3 2 2" xfId="49108" xr:uid="{00000000-0005-0000-0000-000085C00000}"/>
    <cellStyle name="SAPBEXHLevel3 3 2 2 2" xfId="49109" xr:uid="{00000000-0005-0000-0000-000086C00000}"/>
    <cellStyle name="SAPBEXHLevel3 3 2 2 2 2" xfId="49110" xr:uid="{00000000-0005-0000-0000-000087C00000}"/>
    <cellStyle name="SAPBEXHLevel3 3 2 2 3" xfId="49111" xr:uid="{00000000-0005-0000-0000-000088C00000}"/>
    <cellStyle name="SAPBEXHLevel3 3 2 3" xfId="49112" xr:uid="{00000000-0005-0000-0000-000089C00000}"/>
    <cellStyle name="SAPBEXHLevel3 3 2 3 2" xfId="49113" xr:uid="{00000000-0005-0000-0000-00008AC00000}"/>
    <cellStyle name="SAPBEXHLevel3 3 2 3 2 2" xfId="49114" xr:uid="{00000000-0005-0000-0000-00008BC00000}"/>
    <cellStyle name="SAPBEXHLevel3 3 2 3 3" xfId="49115" xr:uid="{00000000-0005-0000-0000-00008CC00000}"/>
    <cellStyle name="SAPBEXHLevel3 3 2 4" xfId="49116" xr:uid="{00000000-0005-0000-0000-00008DC00000}"/>
    <cellStyle name="SAPBEXHLevel3 3 2 4 2" xfId="49117" xr:uid="{00000000-0005-0000-0000-00008EC00000}"/>
    <cellStyle name="SAPBEXHLevel3 3 2 4 2 2" xfId="49118" xr:uid="{00000000-0005-0000-0000-00008FC00000}"/>
    <cellStyle name="SAPBEXHLevel3 3 2 4 3" xfId="49119" xr:uid="{00000000-0005-0000-0000-000090C00000}"/>
    <cellStyle name="SAPBEXHLevel3 3 2 5" xfId="49120" xr:uid="{00000000-0005-0000-0000-000091C00000}"/>
    <cellStyle name="SAPBEXHLevel3 3 2 5 2" xfId="49121" xr:uid="{00000000-0005-0000-0000-000092C00000}"/>
    <cellStyle name="SAPBEXHLevel3 3 2 6" xfId="49122" xr:uid="{00000000-0005-0000-0000-000093C00000}"/>
    <cellStyle name="SAPBEXHLevel3 3 3" xfId="49123" xr:uid="{00000000-0005-0000-0000-000094C00000}"/>
    <cellStyle name="SAPBEXHLevel3 3 3 2" xfId="49124" xr:uid="{00000000-0005-0000-0000-000095C00000}"/>
    <cellStyle name="SAPBEXHLevel3 3 3 2 2" xfId="49125" xr:uid="{00000000-0005-0000-0000-000096C00000}"/>
    <cellStyle name="SAPBEXHLevel3 3 3 2 2 2" xfId="49126" xr:uid="{00000000-0005-0000-0000-000097C00000}"/>
    <cellStyle name="SAPBEXHLevel3 3 3 2 3" xfId="49127" xr:uid="{00000000-0005-0000-0000-000098C00000}"/>
    <cellStyle name="SAPBEXHLevel3 3 3 3" xfId="49128" xr:uid="{00000000-0005-0000-0000-000099C00000}"/>
    <cellStyle name="SAPBEXHLevel3 3 3 3 2" xfId="49129" xr:uid="{00000000-0005-0000-0000-00009AC00000}"/>
    <cellStyle name="SAPBEXHLevel3 3 3 4" xfId="49130" xr:uid="{00000000-0005-0000-0000-00009BC00000}"/>
    <cellStyle name="SAPBEXHLevel3 3 4" xfId="49131" xr:uid="{00000000-0005-0000-0000-00009CC00000}"/>
    <cellStyle name="SAPBEXHLevel3 3 4 2" xfId="49132" xr:uid="{00000000-0005-0000-0000-00009DC00000}"/>
    <cellStyle name="SAPBEXHLevel3 3 4 2 2" xfId="49133" xr:uid="{00000000-0005-0000-0000-00009EC00000}"/>
    <cellStyle name="SAPBEXHLevel3 3 4 3" xfId="49134" xr:uid="{00000000-0005-0000-0000-00009FC00000}"/>
    <cellStyle name="SAPBEXHLevel3 3 5" xfId="49135" xr:uid="{00000000-0005-0000-0000-0000A0C00000}"/>
    <cellStyle name="SAPBEXHLevel3 3 5 2" xfId="49136" xr:uid="{00000000-0005-0000-0000-0000A1C00000}"/>
    <cellStyle name="SAPBEXHLevel3 3 5 2 2" xfId="49137" xr:uid="{00000000-0005-0000-0000-0000A2C00000}"/>
    <cellStyle name="SAPBEXHLevel3 3 5 3" xfId="49138" xr:uid="{00000000-0005-0000-0000-0000A3C00000}"/>
    <cellStyle name="SAPBEXHLevel3 3 6" xfId="49139" xr:uid="{00000000-0005-0000-0000-0000A4C00000}"/>
    <cellStyle name="SAPBEXHLevel3 3 6 2" xfId="49140" xr:uid="{00000000-0005-0000-0000-0000A5C00000}"/>
    <cellStyle name="SAPBEXHLevel3 3 7" xfId="49141" xr:uid="{00000000-0005-0000-0000-0000A6C00000}"/>
    <cellStyle name="SAPBEXHLevel3 4" xfId="49142" xr:uid="{00000000-0005-0000-0000-0000A7C00000}"/>
    <cellStyle name="SAPBEXHLevel3 4 2" xfId="49143" xr:uid="{00000000-0005-0000-0000-0000A8C00000}"/>
    <cellStyle name="SAPBEXHLevel3 4 2 2" xfId="49144" xr:uid="{00000000-0005-0000-0000-0000A9C00000}"/>
    <cellStyle name="SAPBEXHLevel3 4 2 2 2" xfId="49145" xr:uid="{00000000-0005-0000-0000-0000AAC00000}"/>
    <cellStyle name="SAPBEXHLevel3 4 2 2 2 2" xfId="49146" xr:uid="{00000000-0005-0000-0000-0000ABC00000}"/>
    <cellStyle name="SAPBEXHLevel3 4 2 2 3" xfId="49147" xr:uid="{00000000-0005-0000-0000-0000ACC00000}"/>
    <cellStyle name="SAPBEXHLevel3 4 2 3" xfId="49148" xr:uid="{00000000-0005-0000-0000-0000ADC00000}"/>
    <cellStyle name="SAPBEXHLevel3 4 2 3 2" xfId="49149" xr:uid="{00000000-0005-0000-0000-0000AEC00000}"/>
    <cellStyle name="SAPBEXHLevel3 4 2 3 2 2" xfId="49150" xr:uid="{00000000-0005-0000-0000-0000AFC00000}"/>
    <cellStyle name="SAPBEXHLevel3 4 2 3 3" xfId="49151" xr:uid="{00000000-0005-0000-0000-0000B0C00000}"/>
    <cellStyle name="SAPBEXHLevel3 4 2 4" xfId="49152" xr:uid="{00000000-0005-0000-0000-0000B1C00000}"/>
    <cellStyle name="SAPBEXHLevel3 4 2 4 2" xfId="49153" xr:uid="{00000000-0005-0000-0000-0000B2C00000}"/>
    <cellStyle name="SAPBEXHLevel3 4 2 4 2 2" xfId="49154" xr:uid="{00000000-0005-0000-0000-0000B3C00000}"/>
    <cellStyle name="SAPBEXHLevel3 4 2 4 3" xfId="49155" xr:uid="{00000000-0005-0000-0000-0000B4C00000}"/>
    <cellStyle name="SAPBEXHLevel3 4 2 5" xfId="49156" xr:uid="{00000000-0005-0000-0000-0000B5C00000}"/>
    <cellStyle name="SAPBEXHLevel3 4 2 5 2" xfId="49157" xr:uid="{00000000-0005-0000-0000-0000B6C00000}"/>
    <cellStyle name="SAPBEXHLevel3 4 2 6" xfId="49158" xr:uid="{00000000-0005-0000-0000-0000B7C00000}"/>
    <cellStyle name="SAPBEXHLevel3 4 3" xfId="49159" xr:uid="{00000000-0005-0000-0000-0000B8C00000}"/>
    <cellStyle name="SAPBEXHLevel3 4 3 2" xfId="49160" xr:uid="{00000000-0005-0000-0000-0000B9C00000}"/>
    <cellStyle name="SAPBEXHLevel3 4 3 2 2" xfId="49161" xr:uid="{00000000-0005-0000-0000-0000BAC00000}"/>
    <cellStyle name="SAPBEXHLevel3 4 3 2 2 2" xfId="49162" xr:uid="{00000000-0005-0000-0000-0000BBC00000}"/>
    <cellStyle name="SAPBEXHLevel3 4 3 2 2 2 2" xfId="49163" xr:uid="{00000000-0005-0000-0000-0000BCC00000}"/>
    <cellStyle name="SAPBEXHLevel3 4 3 2 2 3" xfId="49164" xr:uid="{00000000-0005-0000-0000-0000BDC00000}"/>
    <cellStyle name="SAPBEXHLevel3 4 3 2 3" xfId="49165" xr:uid="{00000000-0005-0000-0000-0000BEC00000}"/>
    <cellStyle name="SAPBEXHLevel3 4 3 2 3 2" xfId="49166" xr:uid="{00000000-0005-0000-0000-0000BFC00000}"/>
    <cellStyle name="SAPBEXHLevel3 4 3 2 3 2 2" xfId="49167" xr:uid="{00000000-0005-0000-0000-0000C0C00000}"/>
    <cellStyle name="SAPBEXHLevel3 4 3 2 3 3" xfId="49168" xr:uid="{00000000-0005-0000-0000-0000C1C00000}"/>
    <cellStyle name="SAPBEXHLevel3 4 3 2 4" xfId="49169" xr:uid="{00000000-0005-0000-0000-0000C2C00000}"/>
    <cellStyle name="SAPBEXHLevel3 4 3 2 4 2" xfId="49170" xr:uid="{00000000-0005-0000-0000-0000C3C00000}"/>
    <cellStyle name="SAPBEXHLevel3 4 3 2 5" xfId="49171" xr:uid="{00000000-0005-0000-0000-0000C4C00000}"/>
    <cellStyle name="SAPBEXHLevel3 4 3 3" xfId="49172" xr:uid="{00000000-0005-0000-0000-0000C5C00000}"/>
    <cellStyle name="SAPBEXHLevel3 4 3 3 2" xfId="49173" xr:uid="{00000000-0005-0000-0000-0000C6C00000}"/>
    <cellStyle name="SAPBEXHLevel3 4 3 3 2 2" xfId="49174" xr:uid="{00000000-0005-0000-0000-0000C7C00000}"/>
    <cellStyle name="SAPBEXHLevel3 4 3 3 2 2 2" xfId="49175" xr:uid="{00000000-0005-0000-0000-0000C8C00000}"/>
    <cellStyle name="SAPBEXHLevel3 4 3 3 2 3" xfId="49176" xr:uid="{00000000-0005-0000-0000-0000C9C00000}"/>
    <cellStyle name="SAPBEXHLevel3 4 3 3 3" xfId="49177" xr:uid="{00000000-0005-0000-0000-0000CAC00000}"/>
    <cellStyle name="SAPBEXHLevel3 4 3 3 3 2" xfId="49178" xr:uid="{00000000-0005-0000-0000-0000CBC00000}"/>
    <cellStyle name="SAPBEXHLevel3 4 3 3 4" xfId="49179" xr:uid="{00000000-0005-0000-0000-0000CCC00000}"/>
    <cellStyle name="SAPBEXHLevel3 4 3 4" xfId="49180" xr:uid="{00000000-0005-0000-0000-0000CDC00000}"/>
    <cellStyle name="SAPBEXHLevel3 4 3 4 2" xfId="49181" xr:uid="{00000000-0005-0000-0000-0000CEC00000}"/>
    <cellStyle name="SAPBEXHLevel3 4 3 4 2 2" xfId="49182" xr:uid="{00000000-0005-0000-0000-0000CFC00000}"/>
    <cellStyle name="SAPBEXHLevel3 4 3 4 3" xfId="49183" xr:uid="{00000000-0005-0000-0000-0000D0C00000}"/>
    <cellStyle name="SAPBEXHLevel3 4 3 5" xfId="49184" xr:uid="{00000000-0005-0000-0000-0000D1C00000}"/>
    <cellStyle name="SAPBEXHLevel3 4 3 5 2" xfId="49185" xr:uid="{00000000-0005-0000-0000-0000D2C00000}"/>
    <cellStyle name="SAPBEXHLevel3 4 3 5 2 2" xfId="49186" xr:uid="{00000000-0005-0000-0000-0000D3C00000}"/>
    <cellStyle name="SAPBEXHLevel3 4 3 5 3" xfId="49187" xr:uid="{00000000-0005-0000-0000-0000D4C00000}"/>
    <cellStyle name="SAPBEXHLevel3 4 3 6" xfId="49188" xr:uid="{00000000-0005-0000-0000-0000D5C00000}"/>
    <cellStyle name="SAPBEXHLevel3 4 3 6 2" xfId="49189" xr:uid="{00000000-0005-0000-0000-0000D6C00000}"/>
    <cellStyle name="SAPBEXHLevel3 4 3 7" xfId="49190" xr:uid="{00000000-0005-0000-0000-0000D7C00000}"/>
    <cellStyle name="SAPBEXHLevel3 4 4" xfId="49191" xr:uid="{00000000-0005-0000-0000-0000D8C00000}"/>
    <cellStyle name="SAPBEXHLevel3 4 4 2" xfId="49192" xr:uid="{00000000-0005-0000-0000-0000D9C00000}"/>
    <cellStyle name="SAPBEXHLevel3 4 4 2 2" xfId="49193" xr:uid="{00000000-0005-0000-0000-0000DAC00000}"/>
    <cellStyle name="SAPBEXHLevel3 4 4 2 2 2" xfId="49194" xr:uid="{00000000-0005-0000-0000-0000DBC00000}"/>
    <cellStyle name="SAPBEXHLevel3 4 4 2 3" xfId="49195" xr:uid="{00000000-0005-0000-0000-0000DCC00000}"/>
    <cellStyle name="SAPBEXHLevel3 4 4 3" xfId="49196" xr:uid="{00000000-0005-0000-0000-0000DDC00000}"/>
    <cellStyle name="SAPBEXHLevel3 4 4 3 2" xfId="49197" xr:uid="{00000000-0005-0000-0000-0000DEC00000}"/>
    <cellStyle name="SAPBEXHLevel3 4 4 4" xfId="49198" xr:uid="{00000000-0005-0000-0000-0000DFC00000}"/>
    <cellStyle name="SAPBEXHLevel3 4 5" xfId="49199" xr:uid="{00000000-0005-0000-0000-0000E0C00000}"/>
    <cellStyle name="SAPBEXHLevel3 4 5 2" xfId="49200" xr:uid="{00000000-0005-0000-0000-0000E1C00000}"/>
    <cellStyle name="SAPBEXHLevel3 4 5 2 2" xfId="49201" xr:uid="{00000000-0005-0000-0000-0000E2C00000}"/>
    <cellStyle name="SAPBEXHLevel3 4 5 3" xfId="49202" xr:uid="{00000000-0005-0000-0000-0000E3C00000}"/>
    <cellStyle name="SAPBEXHLevel3 4 6" xfId="49203" xr:uid="{00000000-0005-0000-0000-0000E4C00000}"/>
    <cellStyle name="SAPBEXHLevel3 4 6 2" xfId="49204" xr:uid="{00000000-0005-0000-0000-0000E5C00000}"/>
    <cellStyle name="SAPBEXHLevel3 4 6 2 2" xfId="49205" xr:uid="{00000000-0005-0000-0000-0000E6C00000}"/>
    <cellStyle name="SAPBEXHLevel3 4 6 3" xfId="49206" xr:uid="{00000000-0005-0000-0000-0000E7C00000}"/>
    <cellStyle name="SAPBEXHLevel3 4 7" xfId="49207" xr:uid="{00000000-0005-0000-0000-0000E8C00000}"/>
    <cellStyle name="SAPBEXHLevel3 4 7 2" xfId="49208" xr:uid="{00000000-0005-0000-0000-0000E9C00000}"/>
    <cellStyle name="SAPBEXHLevel3 4 8" xfId="49209" xr:uid="{00000000-0005-0000-0000-0000EAC00000}"/>
    <cellStyle name="SAPBEXHLevel3 5" xfId="49210" xr:uid="{00000000-0005-0000-0000-0000EBC00000}"/>
    <cellStyle name="SAPBEXHLevel3 5 2" xfId="49211" xr:uid="{00000000-0005-0000-0000-0000ECC00000}"/>
    <cellStyle name="SAPBEXHLevel3 5 2 2" xfId="49212" xr:uid="{00000000-0005-0000-0000-0000EDC00000}"/>
    <cellStyle name="SAPBEXHLevel3 5 2 2 2" xfId="49213" xr:uid="{00000000-0005-0000-0000-0000EEC00000}"/>
    <cellStyle name="SAPBEXHLevel3 5 2 3" xfId="49214" xr:uid="{00000000-0005-0000-0000-0000EFC00000}"/>
    <cellStyle name="SAPBEXHLevel3 5 3" xfId="49215" xr:uid="{00000000-0005-0000-0000-0000F0C00000}"/>
    <cellStyle name="SAPBEXHLevel3 5 3 2" xfId="49216" xr:uid="{00000000-0005-0000-0000-0000F1C00000}"/>
    <cellStyle name="SAPBEXHLevel3 5 3 2 2" xfId="49217" xr:uid="{00000000-0005-0000-0000-0000F2C00000}"/>
    <cellStyle name="SAPBEXHLevel3 5 3 3" xfId="49218" xr:uid="{00000000-0005-0000-0000-0000F3C00000}"/>
    <cellStyle name="SAPBEXHLevel3 5 4" xfId="49219" xr:uid="{00000000-0005-0000-0000-0000F4C00000}"/>
    <cellStyle name="SAPBEXHLevel3 5 4 2" xfId="49220" xr:uid="{00000000-0005-0000-0000-0000F5C00000}"/>
    <cellStyle name="SAPBEXHLevel3 5 4 2 2" xfId="49221" xr:uid="{00000000-0005-0000-0000-0000F6C00000}"/>
    <cellStyle name="SAPBEXHLevel3 5 4 3" xfId="49222" xr:uid="{00000000-0005-0000-0000-0000F7C00000}"/>
    <cellStyle name="SAPBEXHLevel3 5 5" xfId="49223" xr:uid="{00000000-0005-0000-0000-0000F8C00000}"/>
    <cellStyle name="SAPBEXHLevel3 5 5 2" xfId="49224" xr:uid="{00000000-0005-0000-0000-0000F9C00000}"/>
    <cellStyle name="SAPBEXHLevel3 5 6" xfId="49225" xr:uid="{00000000-0005-0000-0000-0000FAC00000}"/>
    <cellStyle name="SAPBEXHLevel3 6" xfId="49226" xr:uid="{00000000-0005-0000-0000-0000FBC00000}"/>
    <cellStyle name="SAPBEXHLevel3 6 2" xfId="49227" xr:uid="{00000000-0005-0000-0000-0000FCC00000}"/>
    <cellStyle name="SAPBEXHLevel3 6 2 2" xfId="49228" xr:uid="{00000000-0005-0000-0000-0000FDC00000}"/>
    <cellStyle name="SAPBEXHLevel3 6 3" xfId="49229" xr:uid="{00000000-0005-0000-0000-0000FEC00000}"/>
    <cellStyle name="SAPBEXHLevel3 6 3 2" xfId="49230" xr:uid="{00000000-0005-0000-0000-0000FFC00000}"/>
    <cellStyle name="SAPBEXHLevel3 6 3 2 2" xfId="49231" xr:uid="{00000000-0005-0000-0000-000000C10000}"/>
    <cellStyle name="SAPBEXHLevel3 6 3 3" xfId="49232" xr:uid="{00000000-0005-0000-0000-000001C10000}"/>
    <cellStyle name="SAPBEXHLevel3 6 4" xfId="49233" xr:uid="{00000000-0005-0000-0000-000002C10000}"/>
    <cellStyle name="SAPBEXHLevel3 6 4 2" xfId="49234" xr:uid="{00000000-0005-0000-0000-000003C10000}"/>
    <cellStyle name="SAPBEXHLevel3 6 4 2 2" xfId="49235" xr:uid="{00000000-0005-0000-0000-000004C10000}"/>
    <cellStyle name="SAPBEXHLevel3 6 4 3" xfId="49236" xr:uid="{00000000-0005-0000-0000-000005C10000}"/>
    <cellStyle name="SAPBEXHLevel3 6 5" xfId="49237" xr:uid="{00000000-0005-0000-0000-000006C10000}"/>
    <cellStyle name="SAPBEXHLevel3 7" xfId="49238" xr:uid="{00000000-0005-0000-0000-000007C10000}"/>
    <cellStyle name="SAPBEXHLevel3 7 2" xfId="49239" xr:uid="{00000000-0005-0000-0000-000008C10000}"/>
    <cellStyle name="SAPBEXHLevel3 7 2 2" xfId="49240" xr:uid="{00000000-0005-0000-0000-000009C10000}"/>
    <cellStyle name="SAPBEXHLevel3 7 2 2 2" xfId="49241" xr:uid="{00000000-0005-0000-0000-00000AC10000}"/>
    <cellStyle name="SAPBEXHLevel3 7 2 3" xfId="49242" xr:uid="{00000000-0005-0000-0000-00000BC10000}"/>
    <cellStyle name="SAPBEXHLevel3 7 2 3 2" xfId="49243" xr:uid="{00000000-0005-0000-0000-00000CC10000}"/>
    <cellStyle name="SAPBEXHLevel3 7 2 3 2 2" xfId="49244" xr:uid="{00000000-0005-0000-0000-00000DC10000}"/>
    <cellStyle name="SAPBEXHLevel3 7 2 3 3" xfId="49245" xr:uid="{00000000-0005-0000-0000-00000EC10000}"/>
    <cellStyle name="SAPBEXHLevel3 7 2 4" xfId="49246" xr:uid="{00000000-0005-0000-0000-00000FC10000}"/>
    <cellStyle name="SAPBEXHLevel3 7 3" xfId="49247" xr:uid="{00000000-0005-0000-0000-000010C10000}"/>
    <cellStyle name="SAPBEXHLevel3 7 3 2" xfId="49248" xr:uid="{00000000-0005-0000-0000-000011C10000}"/>
    <cellStyle name="SAPBEXHLevel3 7 3 2 2" xfId="49249" xr:uid="{00000000-0005-0000-0000-000012C10000}"/>
    <cellStyle name="SAPBEXHLevel3 7 3 3" xfId="49250" xr:uid="{00000000-0005-0000-0000-000013C10000}"/>
    <cellStyle name="SAPBEXHLevel3 7 4" xfId="49251" xr:uid="{00000000-0005-0000-0000-000014C10000}"/>
    <cellStyle name="SAPBEXHLevel3 7 4 2" xfId="49252" xr:uid="{00000000-0005-0000-0000-000015C10000}"/>
    <cellStyle name="SAPBEXHLevel3 7 4 2 2" xfId="49253" xr:uid="{00000000-0005-0000-0000-000016C10000}"/>
    <cellStyle name="SAPBEXHLevel3 7 4 3" xfId="49254" xr:uid="{00000000-0005-0000-0000-000017C10000}"/>
    <cellStyle name="SAPBEXHLevel3 7 5" xfId="49255" xr:uid="{00000000-0005-0000-0000-000018C10000}"/>
    <cellStyle name="SAPBEXHLevel3 7 5 2" xfId="49256" xr:uid="{00000000-0005-0000-0000-000019C10000}"/>
    <cellStyle name="SAPBEXHLevel3 7 5 2 2" xfId="49257" xr:uid="{00000000-0005-0000-0000-00001AC10000}"/>
    <cellStyle name="SAPBEXHLevel3 7 5 3" xfId="49258" xr:uid="{00000000-0005-0000-0000-00001BC10000}"/>
    <cellStyle name="SAPBEXHLevel3 7 6" xfId="49259" xr:uid="{00000000-0005-0000-0000-00001CC10000}"/>
    <cellStyle name="SAPBEXHLevel3 8" xfId="49260" xr:uid="{00000000-0005-0000-0000-00001DC10000}"/>
    <cellStyle name="SAPBEXHLevel3 8 2" xfId="49261" xr:uid="{00000000-0005-0000-0000-00001EC10000}"/>
    <cellStyle name="SAPBEXHLevel3 8 2 2" xfId="49262" xr:uid="{00000000-0005-0000-0000-00001FC10000}"/>
    <cellStyle name="SAPBEXHLevel3 8 3" xfId="49263" xr:uid="{00000000-0005-0000-0000-000020C10000}"/>
    <cellStyle name="SAPBEXHLevel3 9" xfId="49264" xr:uid="{00000000-0005-0000-0000-000021C10000}"/>
    <cellStyle name="SAPBEXHLevel3 9 2" xfId="49265" xr:uid="{00000000-0005-0000-0000-000022C10000}"/>
    <cellStyle name="SAPBEXHLevel3 9 2 2" xfId="49266" xr:uid="{00000000-0005-0000-0000-000023C10000}"/>
    <cellStyle name="SAPBEXHLevel3 9 3" xfId="49267" xr:uid="{00000000-0005-0000-0000-000024C10000}"/>
    <cellStyle name="SAPBEXHLevel3X" xfId="67" xr:uid="{00000000-0005-0000-0000-000025C10000}"/>
    <cellStyle name="SAPBEXHLevel3X 10" xfId="49268" xr:uid="{00000000-0005-0000-0000-000026C10000}"/>
    <cellStyle name="SAPBEXHLevel3X 10 2" xfId="49269" xr:uid="{00000000-0005-0000-0000-000027C10000}"/>
    <cellStyle name="SAPBEXHLevel3X 10 2 2" xfId="49270" xr:uid="{00000000-0005-0000-0000-000028C10000}"/>
    <cellStyle name="SAPBEXHLevel3X 10 3" xfId="49271" xr:uid="{00000000-0005-0000-0000-000029C10000}"/>
    <cellStyle name="SAPBEXHLevel3X 11" xfId="49272" xr:uid="{00000000-0005-0000-0000-00002AC10000}"/>
    <cellStyle name="SAPBEXHLevel3X 11 2" xfId="49273" xr:uid="{00000000-0005-0000-0000-00002BC10000}"/>
    <cellStyle name="SAPBEXHLevel3X 11 2 2" xfId="49274" xr:uid="{00000000-0005-0000-0000-00002CC10000}"/>
    <cellStyle name="SAPBEXHLevel3X 11 3" xfId="49275" xr:uid="{00000000-0005-0000-0000-00002DC10000}"/>
    <cellStyle name="SAPBEXHLevel3X 12" xfId="49276" xr:uid="{00000000-0005-0000-0000-00002EC10000}"/>
    <cellStyle name="SAPBEXHLevel3X 12 2" xfId="49277" xr:uid="{00000000-0005-0000-0000-00002FC10000}"/>
    <cellStyle name="SAPBEXHLevel3X 12 2 2" xfId="49278" xr:uid="{00000000-0005-0000-0000-000030C10000}"/>
    <cellStyle name="SAPBEXHLevel3X 12 3" xfId="49279" xr:uid="{00000000-0005-0000-0000-000031C10000}"/>
    <cellStyle name="SAPBEXHLevel3X 13" xfId="49280" xr:uid="{00000000-0005-0000-0000-000032C10000}"/>
    <cellStyle name="SAPBEXHLevel3X 13 2" xfId="49281" xr:uid="{00000000-0005-0000-0000-000033C10000}"/>
    <cellStyle name="SAPBEXHLevel3X 13 2 2" xfId="49282" xr:uid="{00000000-0005-0000-0000-000034C10000}"/>
    <cellStyle name="SAPBEXHLevel3X 13 3" xfId="49283" xr:uid="{00000000-0005-0000-0000-000035C10000}"/>
    <cellStyle name="SAPBEXHLevel3X 14" xfId="49284" xr:uid="{00000000-0005-0000-0000-000036C10000}"/>
    <cellStyle name="SAPBEXHLevel3X 14 2" xfId="49285" xr:uid="{00000000-0005-0000-0000-000037C10000}"/>
    <cellStyle name="SAPBEXHLevel3X 15" xfId="49286" xr:uid="{00000000-0005-0000-0000-000038C10000}"/>
    <cellStyle name="SAPBEXHLevel3X 15 2" xfId="49287" xr:uid="{00000000-0005-0000-0000-000039C10000}"/>
    <cellStyle name="SAPBEXHLevel3X 15 2 2" xfId="49288" xr:uid="{00000000-0005-0000-0000-00003AC10000}"/>
    <cellStyle name="SAPBEXHLevel3X 15 3" xfId="49289" xr:uid="{00000000-0005-0000-0000-00003BC10000}"/>
    <cellStyle name="SAPBEXHLevel3X 15 3 2" xfId="49290" xr:uid="{00000000-0005-0000-0000-00003CC10000}"/>
    <cellStyle name="SAPBEXHLevel3X 15 4" xfId="49291" xr:uid="{00000000-0005-0000-0000-00003DC10000}"/>
    <cellStyle name="SAPBEXHLevel3X 16" xfId="49292" xr:uid="{00000000-0005-0000-0000-00003EC10000}"/>
    <cellStyle name="SAPBEXHLevel3X 16 2" xfId="49293" xr:uid="{00000000-0005-0000-0000-00003FC10000}"/>
    <cellStyle name="SAPBEXHLevel3X 17" xfId="49294" xr:uid="{00000000-0005-0000-0000-000040C10000}"/>
    <cellStyle name="SAPBEXHLevel3X 17 2" xfId="49295" xr:uid="{00000000-0005-0000-0000-000041C10000}"/>
    <cellStyle name="SAPBEXHLevel3X 17 3" xfId="49296" xr:uid="{00000000-0005-0000-0000-000042C10000}"/>
    <cellStyle name="SAPBEXHLevel3X 18" xfId="49297" xr:uid="{00000000-0005-0000-0000-000043C10000}"/>
    <cellStyle name="SAPBEXHLevel3X 18 2" xfId="49298" xr:uid="{00000000-0005-0000-0000-000044C10000}"/>
    <cellStyle name="SAPBEXHLevel3X 19" xfId="49299" xr:uid="{00000000-0005-0000-0000-000045C10000}"/>
    <cellStyle name="SAPBEXHLevel3X 19 2" xfId="49300" xr:uid="{00000000-0005-0000-0000-000046C10000}"/>
    <cellStyle name="SAPBEXHLevel3X 2" xfId="91" xr:uid="{00000000-0005-0000-0000-000047C10000}"/>
    <cellStyle name="SAPBEXHLevel3X 2 2" xfId="49301" xr:uid="{00000000-0005-0000-0000-000048C10000}"/>
    <cellStyle name="SAPBEXHLevel3X 2 2 2" xfId="49302" xr:uid="{00000000-0005-0000-0000-000049C10000}"/>
    <cellStyle name="SAPBEXHLevel3X 2 2 2 2" xfId="49303" xr:uid="{00000000-0005-0000-0000-00004AC10000}"/>
    <cellStyle name="SAPBEXHLevel3X 2 2 2 2 2" xfId="49304" xr:uid="{00000000-0005-0000-0000-00004BC10000}"/>
    <cellStyle name="SAPBEXHLevel3X 2 2 2 3" xfId="49305" xr:uid="{00000000-0005-0000-0000-00004CC10000}"/>
    <cellStyle name="SAPBEXHLevel3X 2 2 3" xfId="49306" xr:uid="{00000000-0005-0000-0000-00004DC10000}"/>
    <cellStyle name="SAPBEXHLevel3X 2 2 3 2" xfId="49307" xr:uid="{00000000-0005-0000-0000-00004EC10000}"/>
    <cellStyle name="SAPBEXHLevel3X 2 2 3 2 2" xfId="49308" xr:uid="{00000000-0005-0000-0000-00004FC10000}"/>
    <cellStyle name="SAPBEXHLevel3X 2 2 3 3" xfId="49309" xr:uid="{00000000-0005-0000-0000-000050C10000}"/>
    <cellStyle name="SAPBEXHLevel3X 2 2 4" xfId="49310" xr:uid="{00000000-0005-0000-0000-000051C10000}"/>
    <cellStyle name="SAPBEXHLevel3X 2 2 4 2" xfId="49311" xr:uid="{00000000-0005-0000-0000-000052C10000}"/>
    <cellStyle name="SAPBEXHLevel3X 2 2 4 2 2" xfId="49312" xr:uid="{00000000-0005-0000-0000-000053C10000}"/>
    <cellStyle name="SAPBEXHLevel3X 2 2 4 3" xfId="49313" xr:uid="{00000000-0005-0000-0000-000054C10000}"/>
    <cellStyle name="SAPBEXHLevel3X 2 2 5" xfId="49314" xr:uid="{00000000-0005-0000-0000-000055C10000}"/>
    <cellStyle name="SAPBEXHLevel3X 2 2 5 2" xfId="49315" xr:uid="{00000000-0005-0000-0000-000056C10000}"/>
    <cellStyle name="SAPBEXHLevel3X 2 2 6" xfId="49316" xr:uid="{00000000-0005-0000-0000-000057C10000}"/>
    <cellStyle name="SAPBEXHLevel3X 2 3" xfId="49317" xr:uid="{00000000-0005-0000-0000-000058C10000}"/>
    <cellStyle name="SAPBEXHLevel3X 2 3 2" xfId="49318" xr:uid="{00000000-0005-0000-0000-000059C10000}"/>
    <cellStyle name="SAPBEXHLevel3X 2 3 2 2" xfId="49319" xr:uid="{00000000-0005-0000-0000-00005AC10000}"/>
    <cellStyle name="SAPBEXHLevel3X 2 3 2 2 2" xfId="49320" xr:uid="{00000000-0005-0000-0000-00005BC10000}"/>
    <cellStyle name="SAPBEXHLevel3X 2 3 2 2 2 2" xfId="49321" xr:uid="{00000000-0005-0000-0000-00005CC10000}"/>
    <cellStyle name="SAPBEXHLevel3X 2 3 2 2 3" xfId="49322" xr:uid="{00000000-0005-0000-0000-00005DC10000}"/>
    <cellStyle name="SAPBEXHLevel3X 2 3 2 3" xfId="49323" xr:uid="{00000000-0005-0000-0000-00005EC10000}"/>
    <cellStyle name="SAPBEXHLevel3X 2 3 2 3 2" xfId="49324" xr:uid="{00000000-0005-0000-0000-00005FC10000}"/>
    <cellStyle name="SAPBEXHLevel3X 2 3 2 3 2 2" xfId="49325" xr:uid="{00000000-0005-0000-0000-000060C10000}"/>
    <cellStyle name="SAPBEXHLevel3X 2 3 2 3 3" xfId="49326" xr:uid="{00000000-0005-0000-0000-000061C10000}"/>
    <cellStyle name="SAPBEXHLevel3X 2 3 2 4" xfId="49327" xr:uid="{00000000-0005-0000-0000-000062C10000}"/>
    <cellStyle name="SAPBEXHLevel3X 2 3 2 4 2" xfId="49328" xr:uid="{00000000-0005-0000-0000-000063C10000}"/>
    <cellStyle name="SAPBEXHLevel3X 2 3 2 5" xfId="49329" xr:uid="{00000000-0005-0000-0000-000064C10000}"/>
    <cellStyle name="SAPBEXHLevel3X 2 3 3" xfId="49330" xr:uid="{00000000-0005-0000-0000-000065C10000}"/>
    <cellStyle name="SAPBEXHLevel3X 2 3 3 2" xfId="49331" xr:uid="{00000000-0005-0000-0000-000066C10000}"/>
    <cellStyle name="SAPBEXHLevel3X 2 3 3 2 2" xfId="49332" xr:uid="{00000000-0005-0000-0000-000067C10000}"/>
    <cellStyle name="SAPBEXHLevel3X 2 3 3 2 2 2" xfId="49333" xr:uid="{00000000-0005-0000-0000-000068C10000}"/>
    <cellStyle name="SAPBEXHLevel3X 2 3 3 2 3" xfId="49334" xr:uid="{00000000-0005-0000-0000-000069C10000}"/>
    <cellStyle name="SAPBEXHLevel3X 2 3 3 3" xfId="49335" xr:uid="{00000000-0005-0000-0000-00006AC10000}"/>
    <cellStyle name="SAPBEXHLevel3X 2 3 3 3 2" xfId="49336" xr:uid="{00000000-0005-0000-0000-00006BC10000}"/>
    <cellStyle name="SAPBEXHLevel3X 2 3 3 4" xfId="49337" xr:uid="{00000000-0005-0000-0000-00006CC10000}"/>
    <cellStyle name="SAPBEXHLevel3X 2 3 4" xfId="49338" xr:uid="{00000000-0005-0000-0000-00006DC10000}"/>
    <cellStyle name="SAPBEXHLevel3X 2 3 4 2" xfId="49339" xr:uid="{00000000-0005-0000-0000-00006EC10000}"/>
    <cellStyle name="SAPBEXHLevel3X 2 3 4 2 2" xfId="49340" xr:uid="{00000000-0005-0000-0000-00006FC10000}"/>
    <cellStyle name="SAPBEXHLevel3X 2 3 4 3" xfId="49341" xr:uid="{00000000-0005-0000-0000-000070C10000}"/>
    <cellStyle name="SAPBEXHLevel3X 2 3 5" xfId="49342" xr:uid="{00000000-0005-0000-0000-000071C10000}"/>
    <cellStyle name="SAPBEXHLevel3X 2 3 5 2" xfId="49343" xr:uid="{00000000-0005-0000-0000-000072C10000}"/>
    <cellStyle name="SAPBEXHLevel3X 2 3 5 2 2" xfId="49344" xr:uid="{00000000-0005-0000-0000-000073C10000}"/>
    <cellStyle name="SAPBEXHLevel3X 2 3 5 3" xfId="49345" xr:uid="{00000000-0005-0000-0000-000074C10000}"/>
    <cellStyle name="SAPBEXHLevel3X 2 3 6" xfId="49346" xr:uid="{00000000-0005-0000-0000-000075C10000}"/>
    <cellStyle name="SAPBEXHLevel3X 2 3 6 2" xfId="49347" xr:uid="{00000000-0005-0000-0000-000076C10000}"/>
    <cellStyle name="SAPBEXHLevel3X 2 3 7" xfId="49348" xr:uid="{00000000-0005-0000-0000-000077C10000}"/>
    <cellStyle name="SAPBEXHLevel3X 2 4" xfId="49349" xr:uid="{00000000-0005-0000-0000-000078C10000}"/>
    <cellStyle name="SAPBEXHLevel3X 2 4 2" xfId="49350" xr:uid="{00000000-0005-0000-0000-000079C10000}"/>
    <cellStyle name="SAPBEXHLevel3X 2 4 2 2" xfId="49351" xr:uid="{00000000-0005-0000-0000-00007AC10000}"/>
    <cellStyle name="SAPBEXHLevel3X 2 4 2 2 2" xfId="49352" xr:uid="{00000000-0005-0000-0000-00007BC10000}"/>
    <cellStyle name="SAPBEXHLevel3X 2 4 2 2 2 2" xfId="49353" xr:uid="{00000000-0005-0000-0000-00007CC10000}"/>
    <cellStyle name="SAPBEXHLevel3X 2 4 2 2 3" xfId="49354" xr:uid="{00000000-0005-0000-0000-00007DC10000}"/>
    <cellStyle name="SAPBEXHLevel3X 2 4 2 3" xfId="49355" xr:uid="{00000000-0005-0000-0000-00007EC10000}"/>
    <cellStyle name="SAPBEXHLevel3X 2 4 2 3 2" xfId="49356" xr:uid="{00000000-0005-0000-0000-00007FC10000}"/>
    <cellStyle name="SAPBEXHLevel3X 2 4 2 3 2 2" xfId="49357" xr:uid="{00000000-0005-0000-0000-000080C10000}"/>
    <cellStyle name="SAPBEXHLevel3X 2 4 2 3 3" xfId="49358" xr:uid="{00000000-0005-0000-0000-000081C10000}"/>
    <cellStyle name="SAPBEXHLevel3X 2 4 2 4" xfId="49359" xr:uid="{00000000-0005-0000-0000-000082C10000}"/>
    <cellStyle name="SAPBEXHLevel3X 2 4 2 4 2" xfId="49360" xr:uid="{00000000-0005-0000-0000-000083C10000}"/>
    <cellStyle name="SAPBEXHLevel3X 2 4 2 5" xfId="49361" xr:uid="{00000000-0005-0000-0000-000084C10000}"/>
    <cellStyle name="SAPBEXHLevel3X 2 4 3" xfId="49362" xr:uid="{00000000-0005-0000-0000-000085C10000}"/>
    <cellStyle name="SAPBEXHLevel3X 2 4 3 2" xfId="49363" xr:uid="{00000000-0005-0000-0000-000086C10000}"/>
    <cellStyle name="SAPBEXHLevel3X 2 4 3 2 2" xfId="49364" xr:uid="{00000000-0005-0000-0000-000087C10000}"/>
    <cellStyle name="SAPBEXHLevel3X 2 4 3 2 2 2" xfId="49365" xr:uid="{00000000-0005-0000-0000-000088C10000}"/>
    <cellStyle name="SAPBEXHLevel3X 2 4 3 2 3" xfId="49366" xr:uid="{00000000-0005-0000-0000-000089C10000}"/>
    <cellStyle name="SAPBEXHLevel3X 2 4 3 3" xfId="49367" xr:uid="{00000000-0005-0000-0000-00008AC10000}"/>
    <cellStyle name="SAPBEXHLevel3X 2 4 3 3 2" xfId="49368" xr:uid="{00000000-0005-0000-0000-00008BC10000}"/>
    <cellStyle name="SAPBEXHLevel3X 2 4 3 4" xfId="49369" xr:uid="{00000000-0005-0000-0000-00008CC10000}"/>
    <cellStyle name="SAPBEXHLevel3X 2 4 4" xfId="49370" xr:uid="{00000000-0005-0000-0000-00008DC10000}"/>
    <cellStyle name="SAPBEXHLevel3X 2 4 4 2" xfId="49371" xr:uid="{00000000-0005-0000-0000-00008EC10000}"/>
    <cellStyle name="SAPBEXHLevel3X 2 4 4 2 2" xfId="49372" xr:uid="{00000000-0005-0000-0000-00008FC10000}"/>
    <cellStyle name="SAPBEXHLevel3X 2 4 4 3" xfId="49373" xr:uid="{00000000-0005-0000-0000-000090C10000}"/>
    <cellStyle name="SAPBEXHLevel3X 2 4 5" xfId="49374" xr:uid="{00000000-0005-0000-0000-000091C10000}"/>
    <cellStyle name="SAPBEXHLevel3X 2 4 5 2" xfId="49375" xr:uid="{00000000-0005-0000-0000-000092C10000}"/>
    <cellStyle name="SAPBEXHLevel3X 2 4 6" xfId="49376" xr:uid="{00000000-0005-0000-0000-000093C10000}"/>
    <cellStyle name="SAPBEXHLevel3X 2 5" xfId="49377" xr:uid="{00000000-0005-0000-0000-000094C10000}"/>
    <cellStyle name="SAPBEXHLevel3X 2 5 2" xfId="49378" xr:uid="{00000000-0005-0000-0000-000095C10000}"/>
    <cellStyle name="SAPBEXHLevel3X 2 5 2 2" xfId="49379" xr:uid="{00000000-0005-0000-0000-000096C10000}"/>
    <cellStyle name="SAPBEXHLevel3X 2 5 2 2 2" xfId="49380" xr:uid="{00000000-0005-0000-0000-000097C10000}"/>
    <cellStyle name="SAPBEXHLevel3X 2 5 2 3" xfId="49381" xr:uid="{00000000-0005-0000-0000-000098C10000}"/>
    <cellStyle name="SAPBEXHLevel3X 2 5 3" xfId="49382" xr:uid="{00000000-0005-0000-0000-000099C10000}"/>
    <cellStyle name="SAPBEXHLevel3X 2 5 3 2" xfId="49383" xr:uid="{00000000-0005-0000-0000-00009AC10000}"/>
    <cellStyle name="SAPBEXHLevel3X 2 5 4" xfId="49384" xr:uid="{00000000-0005-0000-0000-00009BC10000}"/>
    <cellStyle name="SAPBEXHLevel3X 2 6" xfId="49385" xr:uid="{00000000-0005-0000-0000-00009CC10000}"/>
    <cellStyle name="SAPBEXHLevel3X 2 6 2" xfId="49386" xr:uid="{00000000-0005-0000-0000-00009DC10000}"/>
    <cellStyle name="SAPBEXHLevel3X 2 6 2 2" xfId="49387" xr:uid="{00000000-0005-0000-0000-00009EC10000}"/>
    <cellStyle name="SAPBEXHLevel3X 2 6 3" xfId="49388" xr:uid="{00000000-0005-0000-0000-00009FC10000}"/>
    <cellStyle name="SAPBEXHLevel3X 2 7" xfId="49389" xr:uid="{00000000-0005-0000-0000-0000A0C10000}"/>
    <cellStyle name="SAPBEXHLevel3X 2 7 2" xfId="49390" xr:uid="{00000000-0005-0000-0000-0000A1C10000}"/>
    <cellStyle name="SAPBEXHLevel3X 2 7 2 2" xfId="49391" xr:uid="{00000000-0005-0000-0000-0000A2C10000}"/>
    <cellStyle name="SAPBEXHLevel3X 2 7 3" xfId="49392" xr:uid="{00000000-0005-0000-0000-0000A3C10000}"/>
    <cellStyle name="SAPBEXHLevel3X 2 8" xfId="49393" xr:uid="{00000000-0005-0000-0000-0000A4C10000}"/>
    <cellStyle name="SAPBEXHLevel3X 2 8 2" xfId="49394" xr:uid="{00000000-0005-0000-0000-0000A5C10000}"/>
    <cellStyle name="SAPBEXHLevel3X 2 9" xfId="49395" xr:uid="{00000000-0005-0000-0000-0000A6C10000}"/>
    <cellStyle name="SAPBEXHLevel3X 20" xfId="49396" xr:uid="{00000000-0005-0000-0000-0000A7C10000}"/>
    <cellStyle name="SAPBEXHLevel3X 21" xfId="49397" xr:uid="{00000000-0005-0000-0000-0000A8C10000}"/>
    <cellStyle name="SAPBEXHLevel3X 22" xfId="49398" xr:uid="{00000000-0005-0000-0000-0000A9C10000}"/>
    <cellStyle name="SAPBEXHLevel3X 23" xfId="49399" xr:uid="{00000000-0005-0000-0000-0000AAC10000}"/>
    <cellStyle name="SAPBEXHLevel3X 3" xfId="49400" xr:uid="{00000000-0005-0000-0000-0000ABC10000}"/>
    <cellStyle name="SAPBEXHLevel3X 3 2" xfId="49401" xr:uid="{00000000-0005-0000-0000-0000ACC10000}"/>
    <cellStyle name="SAPBEXHLevel3X 3 2 2" xfId="49402" xr:uid="{00000000-0005-0000-0000-0000ADC10000}"/>
    <cellStyle name="SAPBEXHLevel3X 3 2 2 2" xfId="49403" xr:uid="{00000000-0005-0000-0000-0000AEC10000}"/>
    <cellStyle name="SAPBEXHLevel3X 3 2 2 2 2" xfId="49404" xr:uid="{00000000-0005-0000-0000-0000AFC10000}"/>
    <cellStyle name="SAPBEXHLevel3X 3 2 2 3" xfId="49405" xr:uid="{00000000-0005-0000-0000-0000B0C10000}"/>
    <cellStyle name="SAPBEXHLevel3X 3 2 3" xfId="49406" xr:uid="{00000000-0005-0000-0000-0000B1C10000}"/>
    <cellStyle name="SAPBEXHLevel3X 3 2 3 2" xfId="49407" xr:uid="{00000000-0005-0000-0000-0000B2C10000}"/>
    <cellStyle name="SAPBEXHLevel3X 3 2 3 2 2" xfId="49408" xr:uid="{00000000-0005-0000-0000-0000B3C10000}"/>
    <cellStyle name="SAPBEXHLevel3X 3 2 3 3" xfId="49409" xr:uid="{00000000-0005-0000-0000-0000B4C10000}"/>
    <cellStyle name="SAPBEXHLevel3X 3 2 4" xfId="49410" xr:uid="{00000000-0005-0000-0000-0000B5C10000}"/>
    <cellStyle name="SAPBEXHLevel3X 3 2 4 2" xfId="49411" xr:uid="{00000000-0005-0000-0000-0000B6C10000}"/>
    <cellStyle name="SAPBEXHLevel3X 3 2 4 2 2" xfId="49412" xr:uid="{00000000-0005-0000-0000-0000B7C10000}"/>
    <cellStyle name="SAPBEXHLevel3X 3 2 4 3" xfId="49413" xr:uid="{00000000-0005-0000-0000-0000B8C10000}"/>
    <cellStyle name="SAPBEXHLevel3X 3 2 5" xfId="49414" xr:uid="{00000000-0005-0000-0000-0000B9C10000}"/>
    <cellStyle name="SAPBEXHLevel3X 3 2 5 2" xfId="49415" xr:uid="{00000000-0005-0000-0000-0000BAC10000}"/>
    <cellStyle name="SAPBEXHLevel3X 3 2 6" xfId="49416" xr:uid="{00000000-0005-0000-0000-0000BBC10000}"/>
    <cellStyle name="SAPBEXHLevel3X 3 3" xfId="49417" xr:uid="{00000000-0005-0000-0000-0000BCC10000}"/>
    <cellStyle name="SAPBEXHLevel3X 3 3 2" xfId="49418" xr:uid="{00000000-0005-0000-0000-0000BDC10000}"/>
    <cellStyle name="SAPBEXHLevel3X 3 3 2 2" xfId="49419" xr:uid="{00000000-0005-0000-0000-0000BEC10000}"/>
    <cellStyle name="SAPBEXHLevel3X 3 3 2 2 2" xfId="49420" xr:uid="{00000000-0005-0000-0000-0000BFC10000}"/>
    <cellStyle name="SAPBEXHLevel3X 3 3 2 3" xfId="49421" xr:uid="{00000000-0005-0000-0000-0000C0C10000}"/>
    <cellStyle name="SAPBEXHLevel3X 3 3 3" xfId="49422" xr:uid="{00000000-0005-0000-0000-0000C1C10000}"/>
    <cellStyle name="SAPBEXHLevel3X 3 3 3 2" xfId="49423" xr:uid="{00000000-0005-0000-0000-0000C2C10000}"/>
    <cellStyle name="SAPBEXHLevel3X 3 3 4" xfId="49424" xr:uid="{00000000-0005-0000-0000-0000C3C10000}"/>
    <cellStyle name="SAPBEXHLevel3X 3 4" xfId="49425" xr:uid="{00000000-0005-0000-0000-0000C4C10000}"/>
    <cellStyle name="SAPBEXHLevel3X 3 4 2" xfId="49426" xr:uid="{00000000-0005-0000-0000-0000C5C10000}"/>
    <cellStyle name="SAPBEXHLevel3X 3 4 2 2" xfId="49427" xr:uid="{00000000-0005-0000-0000-0000C6C10000}"/>
    <cellStyle name="SAPBEXHLevel3X 3 4 3" xfId="49428" xr:uid="{00000000-0005-0000-0000-0000C7C10000}"/>
    <cellStyle name="SAPBEXHLevel3X 3 5" xfId="49429" xr:uid="{00000000-0005-0000-0000-0000C8C10000}"/>
    <cellStyle name="SAPBEXHLevel3X 3 5 2" xfId="49430" xr:uid="{00000000-0005-0000-0000-0000C9C10000}"/>
    <cellStyle name="SAPBEXHLevel3X 3 5 2 2" xfId="49431" xr:uid="{00000000-0005-0000-0000-0000CAC10000}"/>
    <cellStyle name="SAPBEXHLevel3X 3 5 3" xfId="49432" xr:uid="{00000000-0005-0000-0000-0000CBC10000}"/>
    <cellStyle name="SAPBEXHLevel3X 3 6" xfId="49433" xr:uid="{00000000-0005-0000-0000-0000CCC10000}"/>
    <cellStyle name="SAPBEXHLevel3X 3 6 2" xfId="49434" xr:uid="{00000000-0005-0000-0000-0000CDC10000}"/>
    <cellStyle name="SAPBEXHLevel3X 3 7" xfId="49435" xr:uid="{00000000-0005-0000-0000-0000CEC10000}"/>
    <cellStyle name="SAPBEXHLevel3X 4" xfId="49436" xr:uid="{00000000-0005-0000-0000-0000CFC10000}"/>
    <cellStyle name="SAPBEXHLevel3X 4 2" xfId="49437" xr:uid="{00000000-0005-0000-0000-0000D0C10000}"/>
    <cellStyle name="SAPBEXHLevel3X 4 2 2" xfId="49438" xr:uid="{00000000-0005-0000-0000-0000D1C10000}"/>
    <cellStyle name="SAPBEXHLevel3X 4 2 2 2" xfId="49439" xr:uid="{00000000-0005-0000-0000-0000D2C10000}"/>
    <cellStyle name="SAPBEXHLevel3X 4 2 2 2 2" xfId="49440" xr:uid="{00000000-0005-0000-0000-0000D3C10000}"/>
    <cellStyle name="SAPBEXHLevel3X 4 2 2 3" xfId="49441" xr:uid="{00000000-0005-0000-0000-0000D4C10000}"/>
    <cellStyle name="SAPBEXHLevel3X 4 2 3" xfId="49442" xr:uid="{00000000-0005-0000-0000-0000D5C10000}"/>
    <cellStyle name="SAPBEXHLevel3X 4 2 3 2" xfId="49443" xr:uid="{00000000-0005-0000-0000-0000D6C10000}"/>
    <cellStyle name="SAPBEXHLevel3X 4 2 3 2 2" xfId="49444" xr:uid="{00000000-0005-0000-0000-0000D7C10000}"/>
    <cellStyle name="SAPBEXHLevel3X 4 2 3 3" xfId="49445" xr:uid="{00000000-0005-0000-0000-0000D8C10000}"/>
    <cellStyle name="SAPBEXHLevel3X 4 2 4" xfId="49446" xr:uid="{00000000-0005-0000-0000-0000D9C10000}"/>
    <cellStyle name="SAPBEXHLevel3X 4 2 4 2" xfId="49447" xr:uid="{00000000-0005-0000-0000-0000DAC10000}"/>
    <cellStyle name="SAPBEXHLevel3X 4 2 4 2 2" xfId="49448" xr:uid="{00000000-0005-0000-0000-0000DBC10000}"/>
    <cellStyle name="SAPBEXHLevel3X 4 2 4 3" xfId="49449" xr:uid="{00000000-0005-0000-0000-0000DCC10000}"/>
    <cellStyle name="SAPBEXHLevel3X 4 2 5" xfId="49450" xr:uid="{00000000-0005-0000-0000-0000DDC10000}"/>
    <cellStyle name="SAPBEXHLevel3X 4 2 5 2" xfId="49451" xr:uid="{00000000-0005-0000-0000-0000DEC10000}"/>
    <cellStyle name="SAPBEXHLevel3X 4 2 6" xfId="49452" xr:uid="{00000000-0005-0000-0000-0000DFC10000}"/>
    <cellStyle name="SAPBEXHLevel3X 4 3" xfId="49453" xr:uid="{00000000-0005-0000-0000-0000E0C10000}"/>
    <cellStyle name="SAPBEXHLevel3X 4 3 2" xfId="49454" xr:uid="{00000000-0005-0000-0000-0000E1C10000}"/>
    <cellStyle name="SAPBEXHLevel3X 4 3 2 2" xfId="49455" xr:uid="{00000000-0005-0000-0000-0000E2C10000}"/>
    <cellStyle name="SAPBEXHLevel3X 4 3 2 2 2" xfId="49456" xr:uid="{00000000-0005-0000-0000-0000E3C10000}"/>
    <cellStyle name="SAPBEXHLevel3X 4 3 2 2 2 2" xfId="49457" xr:uid="{00000000-0005-0000-0000-0000E4C10000}"/>
    <cellStyle name="SAPBEXHLevel3X 4 3 2 2 3" xfId="49458" xr:uid="{00000000-0005-0000-0000-0000E5C10000}"/>
    <cellStyle name="SAPBEXHLevel3X 4 3 2 3" xfId="49459" xr:uid="{00000000-0005-0000-0000-0000E6C10000}"/>
    <cellStyle name="SAPBEXHLevel3X 4 3 2 3 2" xfId="49460" xr:uid="{00000000-0005-0000-0000-0000E7C10000}"/>
    <cellStyle name="SAPBEXHLevel3X 4 3 2 3 2 2" xfId="49461" xr:uid="{00000000-0005-0000-0000-0000E8C10000}"/>
    <cellStyle name="SAPBEXHLevel3X 4 3 2 3 3" xfId="49462" xr:uid="{00000000-0005-0000-0000-0000E9C10000}"/>
    <cellStyle name="SAPBEXHLevel3X 4 3 2 4" xfId="49463" xr:uid="{00000000-0005-0000-0000-0000EAC10000}"/>
    <cellStyle name="SAPBEXHLevel3X 4 3 2 4 2" xfId="49464" xr:uid="{00000000-0005-0000-0000-0000EBC10000}"/>
    <cellStyle name="SAPBEXHLevel3X 4 3 2 5" xfId="49465" xr:uid="{00000000-0005-0000-0000-0000ECC10000}"/>
    <cellStyle name="SAPBEXHLevel3X 4 3 3" xfId="49466" xr:uid="{00000000-0005-0000-0000-0000EDC10000}"/>
    <cellStyle name="SAPBEXHLevel3X 4 3 3 2" xfId="49467" xr:uid="{00000000-0005-0000-0000-0000EEC10000}"/>
    <cellStyle name="SAPBEXHLevel3X 4 3 3 2 2" xfId="49468" xr:uid="{00000000-0005-0000-0000-0000EFC10000}"/>
    <cellStyle name="SAPBEXHLevel3X 4 3 3 2 2 2" xfId="49469" xr:uid="{00000000-0005-0000-0000-0000F0C10000}"/>
    <cellStyle name="SAPBEXHLevel3X 4 3 3 2 3" xfId="49470" xr:uid="{00000000-0005-0000-0000-0000F1C10000}"/>
    <cellStyle name="SAPBEXHLevel3X 4 3 3 3" xfId="49471" xr:uid="{00000000-0005-0000-0000-0000F2C10000}"/>
    <cellStyle name="SAPBEXHLevel3X 4 3 3 3 2" xfId="49472" xr:uid="{00000000-0005-0000-0000-0000F3C10000}"/>
    <cellStyle name="SAPBEXHLevel3X 4 3 3 4" xfId="49473" xr:uid="{00000000-0005-0000-0000-0000F4C10000}"/>
    <cellStyle name="SAPBEXHLevel3X 4 3 4" xfId="49474" xr:uid="{00000000-0005-0000-0000-0000F5C10000}"/>
    <cellStyle name="SAPBEXHLevel3X 4 3 4 2" xfId="49475" xr:uid="{00000000-0005-0000-0000-0000F6C10000}"/>
    <cellStyle name="SAPBEXHLevel3X 4 3 4 2 2" xfId="49476" xr:uid="{00000000-0005-0000-0000-0000F7C10000}"/>
    <cellStyle name="SAPBEXHLevel3X 4 3 4 3" xfId="49477" xr:uid="{00000000-0005-0000-0000-0000F8C10000}"/>
    <cellStyle name="SAPBEXHLevel3X 4 3 5" xfId="49478" xr:uid="{00000000-0005-0000-0000-0000F9C10000}"/>
    <cellStyle name="SAPBEXHLevel3X 4 3 5 2" xfId="49479" xr:uid="{00000000-0005-0000-0000-0000FAC10000}"/>
    <cellStyle name="SAPBEXHLevel3X 4 3 5 2 2" xfId="49480" xr:uid="{00000000-0005-0000-0000-0000FBC10000}"/>
    <cellStyle name="SAPBEXHLevel3X 4 3 5 3" xfId="49481" xr:uid="{00000000-0005-0000-0000-0000FCC10000}"/>
    <cellStyle name="SAPBEXHLevel3X 4 3 6" xfId="49482" xr:uid="{00000000-0005-0000-0000-0000FDC10000}"/>
    <cellStyle name="SAPBEXHLevel3X 4 3 6 2" xfId="49483" xr:uid="{00000000-0005-0000-0000-0000FEC10000}"/>
    <cellStyle name="SAPBEXHLevel3X 4 3 7" xfId="49484" xr:uid="{00000000-0005-0000-0000-0000FFC10000}"/>
    <cellStyle name="SAPBEXHLevel3X 4 4" xfId="49485" xr:uid="{00000000-0005-0000-0000-000000C20000}"/>
    <cellStyle name="SAPBEXHLevel3X 4 4 2" xfId="49486" xr:uid="{00000000-0005-0000-0000-000001C20000}"/>
    <cellStyle name="SAPBEXHLevel3X 4 4 2 2" xfId="49487" xr:uid="{00000000-0005-0000-0000-000002C20000}"/>
    <cellStyle name="SAPBEXHLevel3X 4 4 2 2 2" xfId="49488" xr:uid="{00000000-0005-0000-0000-000003C20000}"/>
    <cellStyle name="SAPBEXHLevel3X 4 4 2 3" xfId="49489" xr:uid="{00000000-0005-0000-0000-000004C20000}"/>
    <cellStyle name="SAPBEXHLevel3X 4 4 3" xfId="49490" xr:uid="{00000000-0005-0000-0000-000005C20000}"/>
    <cellStyle name="SAPBEXHLevel3X 4 4 3 2" xfId="49491" xr:uid="{00000000-0005-0000-0000-000006C20000}"/>
    <cellStyle name="SAPBEXHLevel3X 4 4 4" xfId="49492" xr:uid="{00000000-0005-0000-0000-000007C20000}"/>
    <cellStyle name="SAPBEXHLevel3X 4 5" xfId="49493" xr:uid="{00000000-0005-0000-0000-000008C20000}"/>
    <cellStyle name="SAPBEXHLevel3X 4 5 2" xfId="49494" xr:uid="{00000000-0005-0000-0000-000009C20000}"/>
    <cellStyle name="SAPBEXHLevel3X 4 5 2 2" xfId="49495" xr:uid="{00000000-0005-0000-0000-00000AC20000}"/>
    <cellStyle name="SAPBEXHLevel3X 4 5 3" xfId="49496" xr:uid="{00000000-0005-0000-0000-00000BC20000}"/>
    <cellStyle name="SAPBEXHLevel3X 4 6" xfId="49497" xr:uid="{00000000-0005-0000-0000-00000CC20000}"/>
    <cellStyle name="SAPBEXHLevel3X 4 6 2" xfId="49498" xr:uid="{00000000-0005-0000-0000-00000DC20000}"/>
    <cellStyle name="SAPBEXHLevel3X 4 6 2 2" xfId="49499" xr:uid="{00000000-0005-0000-0000-00000EC20000}"/>
    <cellStyle name="SAPBEXHLevel3X 4 6 3" xfId="49500" xr:uid="{00000000-0005-0000-0000-00000FC20000}"/>
    <cellStyle name="SAPBEXHLevel3X 4 7" xfId="49501" xr:uid="{00000000-0005-0000-0000-000010C20000}"/>
    <cellStyle name="SAPBEXHLevel3X 4 7 2" xfId="49502" xr:uid="{00000000-0005-0000-0000-000011C20000}"/>
    <cellStyle name="SAPBEXHLevel3X 4 8" xfId="49503" xr:uid="{00000000-0005-0000-0000-000012C20000}"/>
    <cellStyle name="SAPBEXHLevel3X 5" xfId="49504" xr:uid="{00000000-0005-0000-0000-000013C20000}"/>
    <cellStyle name="SAPBEXHLevel3X 5 2" xfId="49505" xr:uid="{00000000-0005-0000-0000-000014C20000}"/>
    <cellStyle name="SAPBEXHLevel3X 5 2 2" xfId="49506" xr:uid="{00000000-0005-0000-0000-000015C20000}"/>
    <cellStyle name="SAPBEXHLevel3X 5 2 2 2" xfId="49507" xr:uid="{00000000-0005-0000-0000-000016C20000}"/>
    <cellStyle name="SAPBEXHLevel3X 5 2 3" xfId="49508" xr:uid="{00000000-0005-0000-0000-000017C20000}"/>
    <cellStyle name="SAPBEXHLevel3X 5 3" xfId="49509" xr:uid="{00000000-0005-0000-0000-000018C20000}"/>
    <cellStyle name="SAPBEXHLevel3X 5 3 2" xfId="49510" xr:uid="{00000000-0005-0000-0000-000019C20000}"/>
    <cellStyle name="SAPBEXHLevel3X 5 3 2 2" xfId="49511" xr:uid="{00000000-0005-0000-0000-00001AC20000}"/>
    <cellStyle name="SAPBEXHLevel3X 5 3 3" xfId="49512" xr:uid="{00000000-0005-0000-0000-00001BC20000}"/>
    <cellStyle name="SAPBEXHLevel3X 5 4" xfId="49513" xr:uid="{00000000-0005-0000-0000-00001CC20000}"/>
    <cellStyle name="SAPBEXHLevel3X 5 4 2" xfId="49514" xr:uid="{00000000-0005-0000-0000-00001DC20000}"/>
    <cellStyle name="SAPBEXHLevel3X 5 4 2 2" xfId="49515" xr:uid="{00000000-0005-0000-0000-00001EC20000}"/>
    <cellStyle name="SAPBEXHLevel3X 5 4 3" xfId="49516" xr:uid="{00000000-0005-0000-0000-00001FC20000}"/>
    <cellStyle name="SAPBEXHLevel3X 5 5" xfId="49517" xr:uid="{00000000-0005-0000-0000-000020C20000}"/>
    <cellStyle name="SAPBEXHLevel3X 5 5 2" xfId="49518" xr:uid="{00000000-0005-0000-0000-000021C20000}"/>
    <cellStyle name="SAPBEXHLevel3X 5 6" xfId="49519" xr:uid="{00000000-0005-0000-0000-000022C20000}"/>
    <cellStyle name="SAPBEXHLevel3X 6" xfId="49520" xr:uid="{00000000-0005-0000-0000-000023C20000}"/>
    <cellStyle name="SAPBEXHLevel3X 6 2" xfId="49521" xr:uid="{00000000-0005-0000-0000-000024C20000}"/>
    <cellStyle name="SAPBEXHLevel3X 6 2 2" xfId="49522" xr:uid="{00000000-0005-0000-0000-000025C20000}"/>
    <cellStyle name="SAPBEXHLevel3X 6 3" xfId="49523" xr:uid="{00000000-0005-0000-0000-000026C20000}"/>
    <cellStyle name="SAPBEXHLevel3X 6 3 2" xfId="49524" xr:uid="{00000000-0005-0000-0000-000027C20000}"/>
    <cellStyle name="SAPBEXHLevel3X 6 3 2 2" xfId="49525" xr:uid="{00000000-0005-0000-0000-000028C20000}"/>
    <cellStyle name="SAPBEXHLevel3X 6 3 3" xfId="49526" xr:uid="{00000000-0005-0000-0000-000029C20000}"/>
    <cellStyle name="SAPBEXHLevel3X 6 4" xfId="49527" xr:uid="{00000000-0005-0000-0000-00002AC20000}"/>
    <cellStyle name="SAPBEXHLevel3X 6 4 2" xfId="49528" xr:uid="{00000000-0005-0000-0000-00002BC20000}"/>
    <cellStyle name="SAPBEXHLevel3X 6 4 2 2" xfId="49529" xr:uid="{00000000-0005-0000-0000-00002CC20000}"/>
    <cellStyle name="SAPBEXHLevel3X 6 4 3" xfId="49530" xr:uid="{00000000-0005-0000-0000-00002DC20000}"/>
    <cellStyle name="SAPBEXHLevel3X 6 5" xfId="49531" xr:uid="{00000000-0005-0000-0000-00002EC20000}"/>
    <cellStyle name="SAPBEXHLevel3X 7" xfId="49532" xr:uid="{00000000-0005-0000-0000-00002FC20000}"/>
    <cellStyle name="SAPBEXHLevel3X 7 2" xfId="49533" xr:uid="{00000000-0005-0000-0000-000030C20000}"/>
    <cellStyle name="SAPBEXHLevel3X 7 2 2" xfId="49534" xr:uid="{00000000-0005-0000-0000-000031C20000}"/>
    <cellStyle name="SAPBEXHLevel3X 7 2 2 2" xfId="49535" xr:uid="{00000000-0005-0000-0000-000032C20000}"/>
    <cellStyle name="SAPBEXHLevel3X 7 2 3" xfId="49536" xr:uid="{00000000-0005-0000-0000-000033C20000}"/>
    <cellStyle name="SAPBEXHLevel3X 7 2 3 2" xfId="49537" xr:uid="{00000000-0005-0000-0000-000034C20000}"/>
    <cellStyle name="SAPBEXHLevel3X 7 2 3 2 2" xfId="49538" xr:uid="{00000000-0005-0000-0000-000035C20000}"/>
    <cellStyle name="SAPBEXHLevel3X 7 2 3 3" xfId="49539" xr:uid="{00000000-0005-0000-0000-000036C20000}"/>
    <cellStyle name="SAPBEXHLevel3X 7 2 4" xfId="49540" xr:uid="{00000000-0005-0000-0000-000037C20000}"/>
    <cellStyle name="SAPBEXHLevel3X 7 3" xfId="49541" xr:uid="{00000000-0005-0000-0000-000038C20000}"/>
    <cellStyle name="SAPBEXHLevel3X 7 3 2" xfId="49542" xr:uid="{00000000-0005-0000-0000-000039C20000}"/>
    <cellStyle name="SAPBEXHLevel3X 7 3 2 2" xfId="49543" xr:uid="{00000000-0005-0000-0000-00003AC20000}"/>
    <cellStyle name="SAPBEXHLevel3X 7 3 3" xfId="49544" xr:uid="{00000000-0005-0000-0000-00003BC20000}"/>
    <cellStyle name="SAPBEXHLevel3X 7 4" xfId="49545" xr:uid="{00000000-0005-0000-0000-00003CC20000}"/>
    <cellStyle name="SAPBEXHLevel3X 7 4 2" xfId="49546" xr:uid="{00000000-0005-0000-0000-00003DC20000}"/>
    <cellStyle name="SAPBEXHLevel3X 7 4 2 2" xfId="49547" xr:uid="{00000000-0005-0000-0000-00003EC20000}"/>
    <cellStyle name="SAPBEXHLevel3X 7 4 3" xfId="49548" xr:uid="{00000000-0005-0000-0000-00003FC20000}"/>
    <cellStyle name="SAPBEXHLevel3X 7 5" xfId="49549" xr:uid="{00000000-0005-0000-0000-000040C20000}"/>
    <cellStyle name="SAPBEXHLevel3X 7 5 2" xfId="49550" xr:uid="{00000000-0005-0000-0000-000041C20000}"/>
    <cellStyle name="SAPBEXHLevel3X 7 5 2 2" xfId="49551" xr:uid="{00000000-0005-0000-0000-000042C20000}"/>
    <cellStyle name="SAPBEXHLevel3X 7 5 3" xfId="49552" xr:uid="{00000000-0005-0000-0000-000043C20000}"/>
    <cellStyle name="SAPBEXHLevel3X 7 6" xfId="49553" xr:uid="{00000000-0005-0000-0000-000044C20000}"/>
    <cellStyle name="SAPBEXHLevel3X 8" xfId="49554" xr:uid="{00000000-0005-0000-0000-000045C20000}"/>
    <cellStyle name="SAPBEXHLevel3X 8 2" xfId="49555" xr:uid="{00000000-0005-0000-0000-000046C20000}"/>
    <cellStyle name="SAPBEXHLevel3X 8 2 2" xfId="49556" xr:uid="{00000000-0005-0000-0000-000047C20000}"/>
    <cellStyle name="SAPBEXHLevel3X 8 2 2 2" xfId="49557" xr:uid="{00000000-0005-0000-0000-000048C20000}"/>
    <cellStyle name="SAPBEXHLevel3X 8 2 3" xfId="49558" xr:uid="{00000000-0005-0000-0000-000049C20000}"/>
    <cellStyle name="SAPBEXHLevel3X 8 3" xfId="49559" xr:uid="{00000000-0005-0000-0000-00004AC20000}"/>
    <cellStyle name="SAPBEXHLevel3X 8 3 2" xfId="49560" xr:uid="{00000000-0005-0000-0000-00004BC20000}"/>
    <cellStyle name="SAPBEXHLevel3X 8 3 2 2" xfId="49561" xr:uid="{00000000-0005-0000-0000-00004CC20000}"/>
    <cellStyle name="SAPBEXHLevel3X 8 3 3" xfId="49562" xr:uid="{00000000-0005-0000-0000-00004DC20000}"/>
    <cellStyle name="SAPBEXHLevel3X 8 4" xfId="49563" xr:uid="{00000000-0005-0000-0000-00004EC20000}"/>
    <cellStyle name="SAPBEXHLevel3X 8 4 2" xfId="49564" xr:uid="{00000000-0005-0000-0000-00004FC20000}"/>
    <cellStyle name="SAPBEXHLevel3X 8 5" xfId="49565" xr:uid="{00000000-0005-0000-0000-000050C20000}"/>
    <cellStyle name="SAPBEXHLevel3X 9" xfId="49566" xr:uid="{00000000-0005-0000-0000-000051C20000}"/>
    <cellStyle name="SAPBEXHLevel3X 9 2" xfId="49567" xr:uid="{00000000-0005-0000-0000-000052C20000}"/>
    <cellStyle name="SAPBEXHLevel3X 9 2 2" xfId="49568" xr:uid="{00000000-0005-0000-0000-000053C20000}"/>
    <cellStyle name="SAPBEXHLevel3X 9 2 2 2" xfId="49569" xr:uid="{00000000-0005-0000-0000-000054C20000}"/>
    <cellStyle name="SAPBEXHLevel3X 9 2 2 2 2" xfId="49570" xr:uid="{00000000-0005-0000-0000-000055C20000}"/>
    <cellStyle name="SAPBEXHLevel3X 9 2 2 3" xfId="49571" xr:uid="{00000000-0005-0000-0000-000056C20000}"/>
    <cellStyle name="SAPBEXHLevel3X 9 2 3" xfId="49572" xr:uid="{00000000-0005-0000-0000-000057C20000}"/>
    <cellStyle name="SAPBEXHLevel3X 9 2 3 2" xfId="49573" xr:uid="{00000000-0005-0000-0000-000058C20000}"/>
    <cellStyle name="SAPBEXHLevel3X 9 2 4" xfId="49574" xr:uid="{00000000-0005-0000-0000-000059C20000}"/>
    <cellStyle name="SAPBEXHLevel3X 9 3" xfId="49575" xr:uid="{00000000-0005-0000-0000-00005AC20000}"/>
    <cellStyle name="SAPBEXHLevel3X 9 3 2" xfId="49576" xr:uid="{00000000-0005-0000-0000-00005BC20000}"/>
    <cellStyle name="SAPBEXHLevel3X 9 3 2 2" xfId="49577" xr:uid="{00000000-0005-0000-0000-00005CC20000}"/>
    <cellStyle name="SAPBEXHLevel3X 9 3 2 2 2" xfId="49578" xr:uid="{00000000-0005-0000-0000-00005DC20000}"/>
    <cellStyle name="SAPBEXHLevel3X 9 3 2 2 2 2" xfId="49579" xr:uid="{00000000-0005-0000-0000-00005EC20000}"/>
    <cellStyle name="SAPBEXHLevel3X 9 3 2 2 3" xfId="49580" xr:uid="{00000000-0005-0000-0000-00005FC20000}"/>
    <cellStyle name="SAPBEXHLevel3X 9 3 2 3" xfId="49581" xr:uid="{00000000-0005-0000-0000-000060C20000}"/>
    <cellStyle name="SAPBEXHLevel3X 9 3 2 3 2" xfId="49582" xr:uid="{00000000-0005-0000-0000-000061C20000}"/>
    <cellStyle name="SAPBEXHLevel3X 9 3 2 4" xfId="49583" xr:uid="{00000000-0005-0000-0000-000062C20000}"/>
    <cellStyle name="SAPBEXHLevel3X 9 3 3" xfId="49584" xr:uid="{00000000-0005-0000-0000-000063C20000}"/>
    <cellStyle name="SAPBEXHLevel3X 9 3 3 2" xfId="49585" xr:uid="{00000000-0005-0000-0000-000064C20000}"/>
    <cellStyle name="SAPBEXHLevel3X 9 3 3 2 2" xfId="49586" xr:uid="{00000000-0005-0000-0000-000065C20000}"/>
    <cellStyle name="SAPBEXHLevel3X 9 3 3 3" xfId="49587" xr:uid="{00000000-0005-0000-0000-000066C20000}"/>
    <cellStyle name="SAPBEXHLevel3X 9 3 4" xfId="49588" xr:uid="{00000000-0005-0000-0000-000067C20000}"/>
    <cellStyle name="SAPBEXHLevel3X 9 3 4 2" xfId="49589" xr:uid="{00000000-0005-0000-0000-000068C20000}"/>
    <cellStyle name="SAPBEXHLevel3X 9 3 5" xfId="49590" xr:uid="{00000000-0005-0000-0000-000069C20000}"/>
    <cellStyle name="SAPBEXHLevel3X 9 4" xfId="49591" xr:uid="{00000000-0005-0000-0000-00006AC20000}"/>
    <cellStyle name="SAPBEXHLevel3X 9 4 2" xfId="49592" xr:uid="{00000000-0005-0000-0000-00006BC20000}"/>
    <cellStyle name="SAPBEXHLevel3X 9 4 2 2" xfId="49593" xr:uid="{00000000-0005-0000-0000-00006CC20000}"/>
    <cellStyle name="SAPBEXHLevel3X 9 4 3" xfId="49594" xr:uid="{00000000-0005-0000-0000-00006DC20000}"/>
    <cellStyle name="SAPBEXHLevel3X 9 5" xfId="49595" xr:uid="{00000000-0005-0000-0000-00006EC20000}"/>
    <cellStyle name="SAPBEXHLevel3X 9 5 2" xfId="49596" xr:uid="{00000000-0005-0000-0000-00006FC20000}"/>
    <cellStyle name="SAPBEXHLevel3X 9 5 2 2" xfId="49597" xr:uid="{00000000-0005-0000-0000-000070C20000}"/>
    <cellStyle name="SAPBEXHLevel3X 9 5 3" xfId="49598" xr:uid="{00000000-0005-0000-0000-000071C20000}"/>
    <cellStyle name="SAPBEXHLevel3X 9 6" xfId="49599" xr:uid="{00000000-0005-0000-0000-000072C20000}"/>
    <cellStyle name="SAPBEXHLevel3X 9 6 2" xfId="49600" xr:uid="{00000000-0005-0000-0000-000073C20000}"/>
    <cellStyle name="SAPBEXHLevel3X 9 7" xfId="49601" xr:uid="{00000000-0005-0000-0000-000074C20000}"/>
    <cellStyle name="SAPBEXinputData" xfId="68" xr:uid="{00000000-0005-0000-0000-000075C20000}"/>
    <cellStyle name="SAPBEXinputData 10" xfId="49602" xr:uid="{00000000-0005-0000-0000-000076C20000}"/>
    <cellStyle name="SAPBEXinputData 10 2" xfId="49603" xr:uid="{00000000-0005-0000-0000-000077C20000}"/>
    <cellStyle name="SAPBEXinputData 10 2 2" xfId="49604" xr:uid="{00000000-0005-0000-0000-000078C20000}"/>
    <cellStyle name="SAPBEXinputData 10 3" xfId="49605" xr:uid="{00000000-0005-0000-0000-000079C20000}"/>
    <cellStyle name="SAPBEXinputData 11" xfId="49606" xr:uid="{00000000-0005-0000-0000-00007AC20000}"/>
    <cellStyle name="SAPBEXinputData 11 2" xfId="49607" xr:uid="{00000000-0005-0000-0000-00007BC20000}"/>
    <cellStyle name="SAPBEXinputData 11 2 2" xfId="49608" xr:uid="{00000000-0005-0000-0000-00007CC20000}"/>
    <cellStyle name="SAPBEXinputData 11 3" xfId="49609" xr:uid="{00000000-0005-0000-0000-00007DC20000}"/>
    <cellStyle name="SAPBEXinputData 12" xfId="49610" xr:uid="{00000000-0005-0000-0000-00007EC20000}"/>
    <cellStyle name="SAPBEXinputData 12 2" xfId="49611" xr:uid="{00000000-0005-0000-0000-00007FC20000}"/>
    <cellStyle name="SAPBEXinputData 12 2 2" xfId="49612" xr:uid="{00000000-0005-0000-0000-000080C20000}"/>
    <cellStyle name="SAPBEXinputData 12 3" xfId="49613" xr:uid="{00000000-0005-0000-0000-000081C20000}"/>
    <cellStyle name="SAPBEXinputData 13" xfId="49614" xr:uid="{00000000-0005-0000-0000-000082C20000}"/>
    <cellStyle name="SAPBEXinputData 13 2" xfId="49615" xr:uid="{00000000-0005-0000-0000-000083C20000}"/>
    <cellStyle name="SAPBEXinputData 14" xfId="49616" xr:uid="{00000000-0005-0000-0000-000084C20000}"/>
    <cellStyle name="SAPBEXinputData 14 2" xfId="49617" xr:uid="{00000000-0005-0000-0000-000085C20000}"/>
    <cellStyle name="SAPBEXinputData 15" xfId="49618" xr:uid="{00000000-0005-0000-0000-000086C20000}"/>
    <cellStyle name="SAPBEXinputData 15 2" xfId="49619" xr:uid="{00000000-0005-0000-0000-000087C20000}"/>
    <cellStyle name="SAPBEXinputData 15 2 2" xfId="49620" xr:uid="{00000000-0005-0000-0000-000088C20000}"/>
    <cellStyle name="SAPBEXinputData 15 3" xfId="49621" xr:uid="{00000000-0005-0000-0000-000089C20000}"/>
    <cellStyle name="SAPBEXinputData 16" xfId="49622" xr:uid="{00000000-0005-0000-0000-00008AC20000}"/>
    <cellStyle name="SAPBEXinputData 16 2" xfId="49623" xr:uid="{00000000-0005-0000-0000-00008BC20000}"/>
    <cellStyle name="SAPBEXinputData 17" xfId="49624" xr:uid="{00000000-0005-0000-0000-00008CC20000}"/>
    <cellStyle name="SAPBEXinputData 17 2" xfId="49625" xr:uid="{00000000-0005-0000-0000-00008DC20000}"/>
    <cellStyle name="SAPBEXinputData 18" xfId="49626" xr:uid="{00000000-0005-0000-0000-00008EC20000}"/>
    <cellStyle name="SAPBEXinputData 18 2" xfId="49627" xr:uid="{00000000-0005-0000-0000-00008FC20000}"/>
    <cellStyle name="SAPBEXinputData 19" xfId="49628" xr:uid="{00000000-0005-0000-0000-000090C20000}"/>
    <cellStyle name="SAPBEXinputData 2" xfId="92" xr:uid="{00000000-0005-0000-0000-000091C20000}"/>
    <cellStyle name="SAPBEXinputData 2 2" xfId="49629" xr:uid="{00000000-0005-0000-0000-000092C20000}"/>
    <cellStyle name="SAPBEXinputData 2 2 2" xfId="49630" xr:uid="{00000000-0005-0000-0000-000093C20000}"/>
    <cellStyle name="SAPBEXinputData 2 2 2 2" xfId="49631" xr:uid="{00000000-0005-0000-0000-000094C20000}"/>
    <cellStyle name="SAPBEXinputData 2 2 3" xfId="49632" xr:uid="{00000000-0005-0000-0000-000095C20000}"/>
    <cellStyle name="SAPBEXinputData 2 2 3 2" xfId="49633" xr:uid="{00000000-0005-0000-0000-000096C20000}"/>
    <cellStyle name="SAPBEXinputData 2 2 3 2 2" xfId="49634" xr:uid="{00000000-0005-0000-0000-000097C20000}"/>
    <cellStyle name="SAPBEXinputData 2 2 3 3" xfId="49635" xr:uid="{00000000-0005-0000-0000-000098C20000}"/>
    <cellStyle name="SAPBEXinputData 2 2 4" xfId="49636" xr:uid="{00000000-0005-0000-0000-000099C20000}"/>
    <cellStyle name="SAPBEXinputData 2 2 4 2" xfId="49637" xr:uid="{00000000-0005-0000-0000-00009AC20000}"/>
    <cellStyle name="SAPBEXinputData 2 2 4 2 2" xfId="49638" xr:uid="{00000000-0005-0000-0000-00009BC20000}"/>
    <cellStyle name="SAPBEXinputData 2 2 4 3" xfId="49639" xr:uid="{00000000-0005-0000-0000-00009CC20000}"/>
    <cellStyle name="SAPBEXinputData 2 2 5" xfId="49640" xr:uid="{00000000-0005-0000-0000-00009DC20000}"/>
    <cellStyle name="SAPBEXinputData 2 3" xfId="49641" xr:uid="{00000000-0005-0000-0000-00009EC20000}"/>
    <cellStyle name="SAPBEXinputData 2 3 2" xfId="49642" xr:uid="{00000000-0005-0000-0000-00009FC20000}"/>
    <cellStyle name="SAPBEXinputData 2 3 2 2" xfId="49643" xr:uid="{00000000-0005-0000-0000-0000A0C20000}"/>
    <cellStyle name="SAPBEXinputData 2 3 2 2 2" xfId="49644" xr:uid="{00000000-0005-0000-0000-0000A1C20000}"/>
    <cellStyle name="SAPBEXinputData 2 3 2 3" xfId="49645" xr:uid="{00000000-0005-0000-0000-0000A2C20000}"/>
    <cellStyle name="SAPBEXinputData 2 3 2 3 2" xfId="49646" xr:uid="{00000000-0005-0000-0000-0000A3C20000}"/>
    <cellStyle name="SAPBEXinputData 2 3 2 3 2 2" xfId="49647" xr:uid="{00000000-0005-0000-0000-0000A4C20000}"/>
    <cellStyle name="SAPBEXinputData 2 3 2 3 3" xfId="49648" xr:uid="{00000000-0005-0000-0000-0000A5C20000}"/>
    <cellStyle name="SAPBEXinputData 2 3 2 4" xfId="49649" xr:uid="{00000000-0005-0000-0000-0000A6C20000}"/>
    <cellStyle name="SAPBEXinputData 2 3 3" xfId="49650" xr:uid="{00000000-0005-0000-0000-0000A7C20000}"/>
    <cellStyle name="SAPBEXinputData 2 3 3 2" xfId="49651" xr:uid="{00000000-0005-0000-0000-0000A8C20000}"/>
    <cellStyle name="SAPBEXinputData 2 3 3 2 2" xfId="49652" xr:uid="{00000000-0005-0000-0000-0000A9C20000}"/>
    <cellStyle name="SAPBEXinputData 2 3 3 3" xfId="49653" xr:uid="{00000000-0005-0000-0000-0000AAC20000}"/>
    <cellStyle name="SAPBEXinputData 2 3 4" xfId="49654" xr:uid="{00000000-0005-0000-0000-0000ABC20000}"/>
    <cellStyle name="SAPBEXinputData 2 3 4 2" xfId="49655" xr:uid="{00000000-0005-0000-0000-0000ACC20000}"/>
    <cellStyle name="SAPBEXinputData 2 3 4 2 2" xfId="49656" xr:uid="{00000000-0005-0000-0000-0000ADC20000}"/>
    <cellStyle name="SAPBEXinputData 2 3 4 3" xfId="49657" xr:uid="{00000000-0005-0000-0000-0000AEC20000}"/>
    <cellStyle name="SAPBEXinputData 2 3 5" xfId="49658" xr:uid="{00000000-0005-0000-0000-0000AFC20000}"/>
    <cellStyle name="SAPBEXinputData 2 3 5 2" xfId="49659" xr:uid="{00000000-0005-0000-0000-0000B0C20000}"/>
    <cellStyle name="SAPBEXinputData 2 3 5 2 2" xfId="49660" xr:uid="{00000000-0005-0000-0000-0000B1C20000}"/>
    <cellStyle name="SAPBEXinputData 2 3 5 3" xfId="49661" xr:uid="{00000000-0005-0000-0000-0000B2C20000}"/>
    <cellStyle name="SAPBEXinputData 2 3 6" xfId="49662" xr:uid="{00000000-0005-0000-0000-0000B3C20000}"/>
    <cellStyle name="SAPBEXinputData 2 4" xfId="49663" xr:uid="{00000000-0005-0000-0000-0000B4C20000}"/>
    <cellStyle name="SAPBEXinputData 2 4 2" xfId="49664" xr:uid="{00000000-0005-0000-0000-0000B5C20000}"/>
    <cellStyle name="SAPBEXinputData 2 4 2 2" xfId="49665" xr:uid="{00000000-0005-0000-0000-0000B6C20000}"/>
    <cellStyle name="SAPBEXinputData 2 4 2 2 2" xfId="49666" xr:uid="{00000000-0005-0000-0000-0000B7C20000}"/>
    <cellStyle name="SAPBEXinputData 2 4 2 3" xfId="49667" xr:uid="{00000000-0005-0000-0000-0000B8C20000}"/>
    <cellStyle name="SAPBEXinputData 2 4 2 3 2" xfId="49668" xr:uid="{00000000-0005-0000-0000-0000B9C20000}"/>
    <cellStyle name="SAPBEXinputData 2 4 2 3 2 2" xfId="49669" xr:uid="{00000000-0005-0000-0000-0000BAC20000}"/>
    <cellStyle name="SAPBEXinputData 2 4 2 3 3" xfId="49670" xr:uid="{00000000-0005-0000-0000-0000BBC20000}"/>
    <cellStyle name="SAPBEXinputData 2 4 2 4" xfId="49671" xr:uid="{00000000-0005-0000-0000-0000BCC20000}"/>
    <cellStyle name="SAPBEXinputData 2 4 3" xfId="49672" xr:uid="{00000000-0005-0000-0000-0000BDC20000}"/>
    <cellStyle name="SAPBEXinputData 2 4 3 2" xfId="49673" xr:uid="{00000000-0005-0000-0000-0000BEC20000}"/>
    <cellStyle name="SAPBEXinputData 2 4 3 2 2" xfId="49674" xr:uid="{00000000-0005-0000-0000-0000BFC20000}"/>
    <cellStyle name="SAPBEXinputData 2 4 3 3" xfId="49675" xr:uid="{00000000-0005-0000-0000-0000C0C20000}"/>
    <cellStyle name="SAPBEXinputData 2 4 4" xfId="49676" xr:uid="{00000000-0005-0000-0000-0000C1C20000}"/>
    <cellStyle name="SAPBEXinputData 2 4 4 2" xfId="49677" xr:uid="{00000000-0005-0000-0000-0000C2C20000}"/>
    <cellStyle name="SAPBEXinputData 2 4 4 2 2" xfId="49678" xr:uid="{00000000-0005-0000-0000-0000C3C20000}"/>
    <cellStyle name="SAPBEXinputData 2 4 4 3" xfId="49679" xr:uid="{00000000-0005-0000-0000-0000C4C20000}"/>
    <cellStyle name="SAPBEXinputData 2 4 5" xfId="49680" xr:uid="{00000000-0005-0000-0000-0000C5C20000}"/>
    <cellStyle name="SAPBEXinputData 2 5" xfId="49681" xr:uid="{00000000-0005-0000-0000-0000C6C20000}"/>
    <cellStyle name="SAPBEXinputData 2 5 2" xfId="49682" xr:uid="{00000000-0005-0000-0000-0000C7C20000}"/>
    <cellStyle name="SAPBEXinputData 2 5 2 2" xfId="49683" xr:uid="{00000000-0005-0000-0000-0000C8C20000}"/>
    <cellStyle name="SAPBEXinputData 2 5 3" xfId="49684" xr:uid="{00000000-0005-0000-0000-0000C9C20000}"/>
    <cellStyle name="SAPBEXinputData 2 6" xfId="49685" xr:uid="{00000000-0005-0000-0000-0000CAC20000}"/>
    <cellStyle name="SAPBEXinputData 2 6 2" xfId="49686" xr:uid="{00000000-0005-0000-0000-0000CBC20000}"/>
    <cellStyle name="SAPBEXinputData 2 6 2 2" xfId="49687" xr:uid="{00000000-0005-0000-0000-0000CCC20000}"/>
    <cellStyle name="SAPBEXinputData 2 6 3" xfId="49688" xr:uid="{00000000-0005-0000-0000-0000CDC20000}"/>
    <cellStyle name="SAPBEXinputData 2 7" xfId="49689" xr:uid="{00000000-0005-0000-0000-0000CEC20000}"/>
    <cellStyle name="SAPBEXinputData 2 7 2" xfId="49690" xr:uid="{00000000-0005-0000-0000-0000CFC20000}"/>
    <cellStyle name="SAPBEXinputData 2 7 2 2" xfId="49691" xr:uid="{00000000-0005-0000-0000-0000D0C20000}"/>
    <cellStyle name="SAPBEXinputData 2 7 3" xfId="49692" xr:uid="{00000000-0005-0000-0000-0000D1C20000}"/>
    <cellStyle name="SAPBEXinputData 2 8" xfId="49693" xr:uid="{00000000-0005-0000-0000-0000D2C20000}"/>
    <cellStyle name="SAPBEXinputData 20" xfId="49694" xr:uid="{00000000-0005-0000-0000-0000D3C20000}"/>
    <cellStyle name="SAPBEXinputData 21" xfId="49695" xr:uid="{00000000-0005-0000-0000-0000D4C20000}"/>
    <cellStyle name="SAPBEXinputData 22" xfId="49696" xr:uid="{00000000-0005-0000-0000-0000D5C20000}"/>
    <cellStyle name="SAPBEXinputData 3" xfId="49697" xr:uid="{00000000-0005-0000-0000-0000D6C20000}"/>
    <cellStyle name="SAPBEXinputData 3 2" xfId="49698" xr:uid="{00000000-0005-0000-0000-0000D7C20000}"/>
    <cellStyle name="SAPBEXinputData 3 2 2" xfId="49699" xr:uid="{00000000-0005-0000-0000-0000D8C20000}"/>
    <cellStyle name="SAPBEXinputData 3 2 2 2" xfId="49700" xr:uid="{00000000-0005-0000-0000-0000D9C20000}"/>
    <cellStyle name="SAPBEXinputData 3 2 3" xfId="49701" xr:uid="{00000000-0005-0000-0000-0000DAC20000}"/>
    <cellStyle name="SAPBEXinputData 3 2 3 2" xfId="49702" xr:uid="{00000000-0005-0000-0000-0000DBC20000}"/>
    <cellStyle name="SAPBEXinputData 3 2 3 2 2" xfId="49703" xr:uid="{00000000-0005-0000-0000-0000DCC20000}"/>
    <cellStyle name="SAPBEXinputData 3 2 3 3" xfId="49704" xr:uid="{00000000-0005-0000-0000-0000DDC20000}"/>
    <cellStyle name="SAPBEXinputData 3 2 4" xfId="49705" xr:uid="{00000000-0005-0000-0000-0000DEC20000}"/>
    <cellStyle name="SAPBEXinputData 3 2 4 2" xfId="49706" xr:uid="{00000000-0005-0000-0000-0000DFC20000}"/>
    <cellStyle name="SAPBEXinputData 3 2 4 2 2" xfId="49707" xr:uid="{00000000-0005-0000-0000-0000E0C20000}"/>
    <cellStyle name="SAPBEXinputData 3 2 4 3" xfId="49708" xr:uid="{00000000-0005-0000-0000-0000E1C20000}"/>
    <cellStyle name="SAPBEXinputData 3 2 5" xfId="49709" xr:uid="{00000000-0005-0000-0000-0000E2C20000}"/>
    <cellStyle name="SAPBEXinputData 3 3" xfId="49710" xr:uid="{00000000-0005-0000-0000-0000E3C20000}"/>
    <cellStyle name="SAPBEXinputData 3 3 2" xfId="49711" xr:uid="{00000000-0005-0000-0000-0000E4C20000}"/>
    <cellStyle name="SAPBEXinputData 3 3 2 2" xfId="49712" xr:uid="{00000000-0005-0000-0000-0000E5C20000}"/>
    <cellStyle name="SAPBEXinputData 3 3 3" xfId="49713" xr:uid="{00000000-0005-0000-0000-0000E6C20000}"/>
    <cellStyle name="SAPBEXinputData 3 4" xfId="49714" xr:uid="{00000000-0005-0000-0000-0000E7C20000}"/>
    <cellStyle name="SAPBEXinputData 3 4 2" xfId="49715" xr:uid="{00000000-0005-0000-0000-0000E8C20000}"/>
    <cellStyle name="SAPBEXinputData 3 4 2 2" xfId="49716" xr:uid="{00000000-0005-0000-0000-0000E9C20000}"/>
    <cellStyle name="SAPBEXinputData 3 4 3" xfId="49717" xr:uid="{00000000-0005-0000-0000-0000EAC20000}"/>
    <cellStyle name="SAPBEXinputData 3 5" xfId="49718" xr:uid="{00000000-0005-0000-0000-0000EBC20000}"/>
    <cellStyle name="SAPBEXinputData 3 5 2" xfId="49719" xr:uid="{00000000-0005-0000-0000-0000ECC20000}"/>
    <cellStyle name="SAPBEXinputData 3 5 2 2" xfId="49720" xr:uid="{00000000-0005-0000-0000-0000EDC20000}"/>
    <cellStyle name="SAPBEXinputData 3 5 3" xfId="49721" xr:uid="{00000000-0005-0000-0000-0000EEC20000}"/>
    <cellStyle name="SAPBEXinputData 3 6" xfId="49722" xr:uid="{00000000-0005-0000-0000-0000EFC20000}"/>
    <cellStyle name="SAPBEXinputData 4" xfId="49723" xr:uid="{00000000-0005-0000-0000-0000F0C20000}"/>
    <cellStyle name="SAPBEXinputData 4 2" xfId="49724" xr:uid="{00000000-0005-0000-0000-0000F1C20000}"/>
    <cellStyle name="SAPBEXinputData 4 2 2" xfId="49725" xr:uid="{00000000-0005-0000-0000-0000F2C20000}"/>
    <cellStyle name="SAPBEXinputData 4 2 2 2" xfId="49726" xr:uid="{00000000-0005-0000-0000-0000F3C20000}"/>
    <cellStyle name="SAPBEXinputData 4 2 3" xfId="49727" xr:uid="{00000000-0005-0000-0000-0000F4C20000}"/>
    <cellStyle name="SAPBEXinputData 4 2 3 2" xfId="49728" xr:uid="{00000000-0005-0000-0000-0000F5C20000}"/>
    <cellStyle name="SAPBEXinputData 4 2 3 2 2" xfId="49729" xr:uid="{00000000-0005-0000-0000-0000F6C20000}"/>
    <cellStyle name="SAPBEXinputData 4 2 3 3" xfId="49730" xr:uid="{00000000-0005-0000-0000-0000F7C20000}"/>
    <cellStyle name="SAPBEXinputData 4 2 4" xfId="49731" xr:uid="{00000000-0005-0000-0000-0000F8C20000}"/>
    <cellStyle name="SAPBEXinputData 4 2 4 2" xfId="49732" xr:uid="{00000000-0005-0000-0000-0000F9C20000}"/>
    <cellStyle name="SAPBEXinputData 4 2 4 2 2" xfId="49733" xr:uid="{00000000-0005-0000-0000-0000FAC20000}"/>
    <cellStyle name="SAPBEXinputData 4 2 4 3" xfId="49734" xr:uid="{00000000-0005-0000-0000-0000FBC20000}"/>
    <cellStyle name="SAPBEXinputData 4 2 5" xfId="49735" xr:uid="{00000000-0005-0000-0000-0000FCC20000}"/>
    <cellStyle name="SAPBEXinputData 4 3" xfId="49736" xr:uid="{00000000-0005-0000-0000-0000FDC20000}"/>
    <cellStyle name="SAPBEXinputData 4 3 2" xfId="49737" xr:uid="{00000000-0005-0000-0000-0000FEC20000}"/>
    <cellStyle name="SAPBEXinputData 4 3 2 2" xfId="49738" xr:uid="{00000000-0005-0000-0000-0000FFC20000}"/>
    <cellStyle name="SAPBEXinputData 4 3 2 2 2" xfId="49739" xr:uid="{00000000-0005-0000-0000-000000C30000}"/>
    <cellStyle name="SAPBEXinputData 4 3 2 3" xfId="49740" xr:uid="{00000000-0005-0000-0000-000001C30000}"/>
    <cellStyle name="SAPBEXinputData 4 3 2 3 2" xfId="49741" xr:uid="{00000000-0005-0000-0000-000002C30000}"/>
    <cellStyle name="SAPBEXinputData 4 3 2 3 2 2" xfId="49742" xr:uid="{00000000-0005-0000-0000-000003C30000}"/>
    <cellStyle name="SAPBEXinputData 4 3 2 3 3" xfId="49743" xr:uid="{00000000-0005-0000-0000-000004C30000}"/>
    <cellStyle name="SAPBEXinputData 4 3 2 4" xfId="49744" xr:uid="{00000000-0005-0000-0000-000005C30000}"/>
    <cellStyle name="SAPBEXinputData 4 3 3" xfId="49745" xr:uid="{00000000-0005-0000-0000-000006C30000}"/>
    <cellStyle name="SAPBEXinputData 4 3 3 2" xfId="49746" xr:uid="{00000000-0005-0000-0000-000007C30000}"/>
    <cellStyle name="SAPBEXinputData 4 3 3 2 2" xfId="49747" xr:uid="{00000000-0005-0000-0000-000008C30000}"/>
    <cellStyle name="SAPBEXinputData 4 3 3 3" xfId="49748" xr:uid="{00000000-0005-0000-0000-000009C30000}"/>
    <cellStyle name="SAPBEXinputData 4 3 4" xfId="49749" xr:uid="{00000000-0005-0000-0000-00000AC30000}"/>
    <cellStyle name="SAPBEXinputData 4 3 4 2" xfId="49750" xr:uid="{00000000-0005-0000-0000-00000BC30000}"/>
    <cellStyle name="SAPBEXinputData 4 3 4 2 2" xfId="49751" xr:uid="{00000000-0005-0000-0000-00000CC30000}"/>
    <cellStyle name="SAPBEXinputData 4 3 4 3" xfId="49752" xr:uid="{00000000-0005-0000-0000-00000DC30000}"/>
    <cellStyle name="SAPBEXinputData 4 3 5" xfId="49753" xr:uid="{00000000-0005-0000-0000-00000EC30000}"/>
    <cellStyle name="SAPBEXinputData 4 3 5 2" xfId="49754" xr:uid="{00000000-0005-0000-0000-00000FC30000}"/>
    <cellStyle name="SAPBEXinputData 4 3 5 2 2" xfId="49755" xr:uid="{00000000-0005-0000-0000-000010C30000}"/>
    <cellStyle name="SAPBEXinputData 4 3 5 3" xfId="49756" xr:uid="{00000000-0005-0000-0000-000011C30000}"/>
    <cellStyle name="SAPBEXinputData 4 3 6" xfId="49757" xr:uid="{00000000-0005-0000-0000-000012C30000}"/>
    <cellStyle name="SAPBEXinputData 4 4" xfId="49758" xr:uid="{00000000-0005-0000-0000-000013C30000}"/>
    <cellStyle name="SAPBEXinputData 4 4 2" xfId="49759" xr:uid="{00000000-0005-0000-0000-000014C30000}"/>
    <cellStyle name="SAPBEXinputData 4 4 2 2" xfId="49760" xr:uid="{00000000-0005-0000-0000-000015C30000}"/>
    <cellStyle name="SAPBEXinputData 4 4 3" xfId="49761" xr:uid="{00000000-0005-0000-0000-000016C30000}"/>
    <cellStyle name="SAPBEXinputData 4 5" xfId="49762" xr:uid="{00000000-0005-0000-0000-000017C30000}"/>
    <cellStyle name="SAPBEXinputData 4 5 2" xfId="49763" xr:uid="{00000000-0005-0000-0000-000018C30000}"/>
    <cellStyle name="SAPBEXinputData 4 5 2 2" xfId="49764" xr:uid="{00000000-0005-0000-0000-000019C30000}"/>
    <cellStyle name="SAPBEXinputData 4 5 3" xfId="49765" xr:uid="{00000000-0005-0000-0000-00001AC30000}"/>
    <cellStyle name="SAPBEXinputData 4 6" xfId="49766" xr:uid="{00000000-0005-0000-0000-00001BC30000}"/>
    <cellStyle name="SAPBEXinputData 4 6 2" xfId="49767" xr:uid="{00000000-0005-0000-0000-00001CC30000}"/>
    <cellStyle name="SAPBEXinputData 4 6 2 2" xfId="49768" xr:uid="{00000000-0005-0000-0000-00001DC30000}"/>
    <cellStyle name="SAPBEXinputData 4 6 3" xfId="49769" xr:uid="{00000000-0005-0000-0000-00001EC30000}"/>
    <cellStyle name="SAPBEXinputData 4 7" xfId="49770" xr:uid="{00000000-0005-0000-0000-00001FC30000}"/>
    <cellStyle name="SAPBEXinputData 5" xfId="49771" xr:uid="{00000000-0005-0000-0000-000020C30000}"/>
    <cellStyle name="SAPBEXinputData 5 2" xfId="49772" xr:uid="{00000000-0005-0000-0000-000021C30000}"/>
    <cellStyle name="SAPBEXinputData 5 2 2" xfId="49773" xr:uid="{00000000-0005-0000-0000-000022C30000}"/>
    <cellStyle name="SAPBEXinputData 5 3" xfId="49774" xr:uid="{00000000-0005-0000-0000-000023C30000}"/>
    <cellStyle name="SAPBEXinputData 5 3 2" xfId="49775" xr:uid="{00000000-0005-0000-0000-000024C30000}"/>
    <cellStyle name="SAPBEXinputData 5 3 2 2" xfId="49776" xr:uid="{00000000-0005-0000-0000-000025C30000}"/>
    <cellStyle name="SAPBEXinputData 5 3 3" xfId="49777" xr:uid="{00000000-0005-0000-0000-000026C30000}"/>
    <cellStyle name="SAPBEXinputData 5 4" xfId="49778" xr:uid="{00000000-0005-0000-0000-000027C30000}"/>
    <cellStyle name="SAPBEXinputData 5 4 2" xfId="49779" xr:uid="{00000000-0005-0000-0000-000028C30000}"/>
    <cellStyle name="SAPBEXinputData 5 4 2 2" xfId="49780" xr:uid="{00000000-0005-0000-0000-000029C30000}"/>
    <cellStyle name="SAPBEXinputData 5 4 3" xfId="49781" xr:uid="{00000000-0005-0000-0000-00002AC30000}"/>
    <cellStyle name="SAPBEXinputData 5 5" xfId="49782" xr:uid="{00000000-0005-0000-0000-00002BC30000}"/>
    <cellStyle name="SAPBEXinputData 6" xfId="49783" xr:uid="{00000000-0005-0000-0000-00002CC30000}"/>
    <cellStyle name="SAPBEXinputData 6 2" xfId="49784" xr:uid="{00000000-0005-0000-0000-00002DC30000}"/>
    <cellStyle name="SAPBEXinputData 6 2 2" xfId="49785" xr:uid="{00000000-0005-0000-0000-00002EC30000}"/>
    <cellStyle name="SAPBEXinputData 6 3" xfId="49786" xr:uid="{00000000-0005-0000-0000-00002FC30000}"/>
    <cellStyle name="SAPBEXinputData 6 3 2" xfId="49787" xr:uid="{00000000-0005-0000-0000-000030C30000}"/>
    <cellStyle name="SAPBEXinputData 6 3 2 2" xfId="49788" xr:uid="{00000000-0005-0000-0000-000031C30000}"/>
    <cellStyle name="SAPBEXinputData 6 3 3" xfId="49789" xr:uid="{00000000-0005-0000-0000-000032C30000}"/>
    <cellStyle name="SAPBEXinputData 6 4" xfId="49790" xr:uid="{00000000-0005-0000-0000-000033C30000}"/>
    <cellStyle name="SAPBEXinputData 6 4 2" xfId="49791" xr:uid="{00000000-0005-0000-0000-000034C30000}"/>
    <cellStyle name="SAPBEXinputData 6 4 2 2" xfId="49792" xr:uid="{00000000-0005-0000-0000-000035C30000}"/>
    <cellStyle name="SAPBEXinputData 6 4 3" xfId="49793" xr:uid="{00000000-0005-0000-0000-000036C30000}"/>
    <cellStyle name="SAPBEXinputData 6 5" xfId="49794" xr:uid="{00000000-0005-0000-0000-000037C30000}"/>
    <cellStyle name="SAPBEXinputData 7" xfId="49795" xr:uid="{00000000-0005-0000-0000-000038C30000}"/>
    <cellStyle name="SAPBEXinputData 7 2" xfId="49796" xr:uid="{00000000-0005-0000-0000-000039C30000}"/>
    <cellStyle name="SAPBEXinputData 7 2 2" xfId="49797" xr:uid="{00000000-0005-0000-0000-00003AC30000}"/>
    <cellStyle name="SAPBEXinputData 7 2 2 2" xfId="49798" xr:uid="{00000000-0005-0000-0000-00003BC30000}"/>
    <cellStyle name="SAPBEXinputData 7 2 3" xfId="49799" xr:uid="{00000000-0005-0000-0000-00003CC30000}"/>
    <cellStyle name="SAPBEXinputData 7 2 3 2" xfId="49800" xr:uid="{00000000-0005-0000-0000-00003DC30000}"/>
    <cellStyle name="SAPBEXinputData 7 2 3 2 2" xfId="49801" xr:uid="{00000000-0005-0000-0000-00003EC30000}"/>
    <cellStyle name="SAPBEXinputData 7 2 3 3" xfId="49802" xr:uid="{00000000-0005-0000-0000-00003FC30000}"/>
    <cellStyle name="SAPBEXinputData 7 2 4" xfId="49803" xr:uid="{00000000-0005-0000-0000-000040C30000}"/>
    <cellStyle name="SAPBEXinputData 7 3" xfId="49804" xr:uid="{00000000-0005-0000-0000-000041C30000}"/>
    <cellStyle name="SAPBEXinputData 7 3 2" xfId="49805" xr:uid="{00000000-0005-0000-0000-000042C30000}"/>
    <cellStyle name="SAPBEXinputData 7 3 2 2" xfId="49806" xr:uid="{00000000-0005-0000-0000-000043C30000}"/>
    <cellStyle name="SAPBEXinputData 7 3 3" xfId="49807" xr:uid="{00000000-0005-0000-0000-000044C30000}"/>
    <cellStyle name="SAPBEXinputData 7 4" xfId="49808" xr:uid="{00000000-0005-0000-0000-000045C30000}"/>
    <cellStyle name="SAPBEXinputData 7 4 2" xfId="49809" xr:uid="{00000000-0005-0000-0000-000046C30000}"/>
    <cellStyle name="SAPBEXinputData 7 4 2 2" xfId="49810" xr:uid="{00000000-0005-0000-0000-000047C30000}"/>
    <cellStyle name="SAPBEXinputData 7 4 3" xfId="49811" xr:uid="{00000000-0005-0000-0000-000048C30000}"/>
    <cellStyle name="SAPBEXinputData 7 5" xfId="49812" xr:uid="{00000000-0005-0000-0000-000049C30000}"/>
    <cellStyle name="SAPBEXinputData 7 5 2" xfId="49813" xr:uid="{00000000-0005-0000-0000-00004AC30000}"/>
    <cellStyle name="SAPBEXinputData 7 5 2 2" xfId="49814" xr:uid="{00000000-0005-0000-0000-00004BC30000}"/>
    <cellStyle name="SAPBEXinputData 7 5 3" xfId="49815" xr:uid="{00000000-0005-0000-0000-00004CC30000}"/>
    <cellStyle name="SAPBEXinputData 7 6" xfId="49816" xr:uid="{00000000-0005-0000-0000-00004DC30000}"/>
    <cellStyle name="SAPBEXinputData 8" xfId="49817" xr:uid="{00000000-0005-0000-0000-00004EC30000}"/>
    <cellStyle name="SAPBEXinputData 8 2" xfId="49818" xr:uid="{00000000-0005-0000-0000-00004FC30000}"/>
    <cellStyle name="SAPBEXinputData 8 2 2" xfId="49819" xr:uid="{00000000-0005-0000-0000-000050C30000}"/>
    <cellStyle name="SAPBEXinputData 8 3" xfId="49820" xr:uid="{00000000-0005-0000-0000-000051C30000}"/>
    <cellStyle name="SAPBEXinputData 8 3 2" xfId="49821" xr:uid="{00000000-0005-0000-0000-000052C30000}"/>
    <cellStyle name="SAPBEXinputData 8 3 2 2" xfId="49822" xr:uid="{00000000-0005-0000-0000-000053C30000}"/>
    <cellStyle name="SAPBEXinputData 8 3 3" xfId="49823" xr:uid="{00000000-0005-0000-0000-000054C30000}"/>
    <cellStyle name="SAPBEXinputData 8 4" xfId="49824" xr:uid="{00000000-0005-0000-0000-000055C30000}"/>
    <cellStyle name="SAPBEXinputData 9" xfId="49825" xr:uid="{00000000-0005-0000-0000-000056C30000}"/>
    <cellStyle name="SAPBEXinputData 9 2" xfId="49826" xr:uid="{00000000-0005-0000-0000-000057C30000}"/>
    <cellStyle name="SAPBEXinputData 9 2 2" xfId="49827" xr:uid="{00000000-0005-0000-0000-000058C30000}"/>
    <cellStyle name="SAPBEXinputData 9 2 2 2" xfId="49828" xr:uid="{00000000-0005-0000-0000-000059C30000}"/>
    <cellStyle name="SAPBEXinputData 9 2 3" xfId="49829" xr:uid="{00000000-0005-0000-0000-00005AC30000}"/>
    <cellStyle name="SAPBEXinputData 9 3" xfId="49830" xr:uid="{00000000-0005-0000-0000-00005BC30000}"/>
    <cellStyle name="SAPBEXinputData 9 3 2" xfId="49831" xr:uid="{00000000-0005-0000-0000-00005CC30000}"/>
    <cellStyle name="SAPBEXinputData 9 3 2 2" xfId="49832" xr:uid="{00000000-0005-0000-0000-00005DC30000}"/>
    <cellStyle name="SAPBEXinputData 9 3 2 2 2" xfId="49833" xr:uid="{00000000-0005-0000-0000-00005EC30000}"/>
    <cellStyle name="SAPBEXinputData 9 3 2 3" xfId="49834" xr:uid="{00000000-0005-0000-0000-00005FC30000}"/>
    <cellStyle name="SAPBEXinputData 9 3 3" xfId="49835" xr:uid="{00000000-0005-0000-0000-000060C30000}"/>
    <cellStyle name="SAPBEXinputData 9 3 3 2" xfId="49836" xr:uid="{00000000-0005-0000-0000-000061C30000}"/>
    <cellStyle name="SAPBEXinputData 9 3 4" xfId="49837" xr:uid="{00000000-0005-0000-0000-000062C30000}"/>
    <cellStyle name="SAPBEXinputData 9 4" xfId="49838" xr:uid="{00000000-0005-0000-0000-000063C30000}"/>
    <cellStyle name="SAPBEXinputData 9 4 2" xfId="49839" xr:uid="{00000000-0005-0000-0000-000064C30000}"/>
    <cellStyle name="SAPBEXinputData 9 4 2 2" xfId="49840" xr:uid="{00000000-0005-0000-0000-000065C30000}"/>
    <cellStyle name="SAPBEXinputData 9 4 3" xfId="49841" xr:uid="{00000000-0005-0000-0000-000066C30000}"/>
    <cellStyle name="SAPBEXinputData 9 5" xfId="49842" xr:uid="{00000000-0005-0000-0000-000067C30000}"/>
    <cellStyle name="SAPBEXinputData 9 5 2" xfId="49843" xr:uid="{00000000-0005-0000-0000-000068C30000}"/>
    <cellStyle name="SAPBEXinputData 9 6" xfId="49844" xr:uid="{00000000-0005-0000-0000-000069C30000}"/>
    <cellStyle name="SAPBEXItemHeader" xfId="49845" xr:uid="{00000000-0005-0000-0000-00006AC30000}"/>
    <cellStyle name="SAPBEXItemHeader 10" xfId="49846" xr:uid="{00000000-0005-0000-0000-00006BC30000}"/>
    <cellStyle name="SAPBEXItemHeader 11" xfId="49847" xr:uid="{00000000-0005-0000-0000-00006CC30000}"/>
    <cellStyle name="SAPBEXItemHeader 2" xfId="49848" xr:uid="{00000000-0005-0000-0000-00006DC30000}"/>
    <cellStyle name="SAPBEXItemHeader 2 2" xfId="49849" xr:uid="{00000000-0005-0000-0000-00006EC30000}"/>
    <cellStyle name="SAPBEXItemHeader 2 2 2" xfId="49850" xr:uid="{00000000-0005-0000-0000-00006FC30000}"/>
    <cellStyle name="SAPBEXItemHeader 2 2 2 2" xfId="49851" xr:uid="{00000000-0005-0000-0000-000070C30000}"/>
    <cellStyle name="SAPBEXItemHeader 2 2 2 2 2" xfId="49852" xr:uid="{00000000-0005-0000-0000-000071C30000}"/>
    <cellStyle name="SAPBEXItemHeader 2 2 2 3" xfId="49853" xr:uid="{00000000-0005-0000-0000-000072C30000}"/>
    <cellStyle name="SAPBEXItemHeader 2 2 3" xfId="49854" xr:uid="{00000000-0005-0000-0000-000073C30000}"/>
    <cellStyle name="SAPBEXItemHeader 2 2 3 2" xfId="49855" xr:uid="{00000000-0005-0000-0000-000074C30000}"/>
    <cellStyle name="SAPBEXItemHeader 2 2 3 2 2" xfId="49856" xr:uid="{00000000-0005-0000-0000-000075C30000}"/>
    <cellStyle name="SAPBEXItemHeader 2 2 3 3" xfId="49857" xr:uid="{00000000-0005-0000-0000-000076C30000}"/>
    <cellStyle name="SAPBEXItemHeader 2 2 4" xfId="49858" xr:uid="{00000000-0005-0000-0000-000077C30000}"/>
    <cellStyle name="SAPBEXItemHeader 2 2 4 2" xfId="49859" xr:uid="{00000000-0005-0000-0000-000078C30000}"/>
    <cellStyle name="SAPBEXItemHeader 2 2 4 2 2" xfId="49860" xr:uid="{00000000-0005-0000-0000-000079C30000}"/>
    <cellStyle name="SAPBEXItemHeader 2 2 4 3" xfId="49861" xr:uid="{00000000-0005-0000-0000-00007AC30000}"/>
    <cellStyle name="SAPBEXItemHeader 2 2 5" xfId="49862" xr:uid="{00000000-0005-0000-0000-00007BC30000}"/>
    <cellStyle name="SAPBEXItemHeader 2 2 5 2" xfId="49863" xr:uid="{00000000-0005-0000-0000-00007CC30000}"/>
    <cellStyle name="SAPBEXItemHeader 2 2 6" xfId="49864" xr:uid="{00000000-0005-0000-0000-00007DC30000}"/>
    <cellStyle name="SAPBEXItemHeader 2 3" xfId="49865" xr:uid="{00000000-0005-0000-0000-00007EC30000}"/>
    <cellStyle name="SAPBEXItemHeader 2 3 2" xfId="49866" xr:uid="{00000000-0005-0000-0000-00007FC30000}"/>
    <cellStyle name="SAPBEXItemHeader 2 3 2 2" xfId="49867" xr:uid="{00000000-0005-0000-0000-000080C30000}"/>
    <cellStyle name="SAPBEXItemHeader 2 3 2 2 2" xfId="49868" xr:uid="{00000000-0005-0000-0000-000081C30000}"/>
    <cellStyle name="SAPBEXItemHeader 2 3 2 2 2 2" xfId="49869" xr:uid="{00000000-0005-0000-0000-000082C30000}"/>
    <cellStyle name="SAPBEXItemHeader 2 3 2 2 3" xfId="49870" xr:uid="{00000000-0005-0000-0000-000083C30000}"/>
    <cellStyle name="SAPBEXItemHeader 2 3 2 3" xfId="49871" xr:uid="{00000000-0005-0000-0000-000084C30000}"/>
    <cellStyle name="SAPBEXItemHeader 2 3 2 3 2" xfId="49872" xr:uid="{00000000-0005-0000-0000-000085C30000}"/>
    <cellStyle name="SAPBEXItemHeader 2 3 2 3 2 2" xfId="49873" xr:uid="{00000000-0005-0000-0000-000086C30000}"/>
    <cellStyle name="SAPBEXItemHeader 2 3 2 3 3" xfId="49874" xr:uid="{00000000-0005-0000-0000-000087C30000}"/>
    <cellStyle name="SAPBEXItemHeader 2 3 2 4" xfId="49875" xr:uid="{00000000-0005-0000-0000-000088C30000}"/>
    <cellStyle name="SAPBEXItemHeader 2 3 2 4 2" xfId="49876" xr:uid="{00000000-0005-0000-0000-000089C30000}"/>
    <cellStyle name="SAPBEXItemHeader 2 3 2 5" xfId="49877" xr:uid="{00000000-0005-0000-0000-00008AC30000}"/>
    <cellStyle name="SAPBEXItemHeader 2 3 3" xfId="49878" xr:uid="{00000000-0005-0000-0000-00008BC30000}"/>
    <cellStyle name="SAPBEXItemHeader 2 3 3 2" xfId="49879" xr:uid="{00000000-0005-0000-0000-00008CC30000}"/>
    <cellStyle name="SAPBEXItemHeader 2 3 3 2 2" xfId="49880" xr:uid="{00000000-0005-0000-0000-00008DC30000}"/>
    <cellStyle name="SAPBEXItemHeader 2 3 3 2 2 2" xfId="49881" xr:uid="{00000000-0005-0000-0000-00008EC30000}"/>
    <cellStyle name="SAPBEXItemHeader 2 3 3 2 3" xfId="49882" xr:uid="{00000000-0005-0000-0000-00008FC30000}"/>
    <cellStyle name="SAPBEXItemHeader 2 3 3 3" xfId="49883" xr:uid="{00000000-0005-0000-0000-000090C30000}"/>
    <cellStyle name="SAPBEXItemHeader 2 3 3 3 2" xfId="49884" xr:uid="{00000000-0005-0000-0000-000091C30000}"/>
    <cellStyle name="SAPBEXItemHeader 2 3 3 4" xfId="49885" xr:uid="{00000000-0005-0000-0000-000092C30000}"/>
    <cellStyle name="SAPBEXItemHeader 2 3 4" xfId="49886" xr:uid="{00000000-0005-0000-0000-000093C30000}"/>
    <cellStyle name="SAPBEXItemHeader 2 3 4 2" xfId="49887" xr:uid="{00000000-0005-0000-0000-000094C30000}"/>
    <cellStyle name="SAPBEXItemHeader 2 3 4 2 2" xfId="49888" xr:uid="{00000000-0005-0000-0000-000095C30000}"/>
    <cellStyle name="SAPBEXItemHeader 2 3 4 3" xfId="49889" xr:uid="{00000000-0005-0000-0000-000096C30000}"/>
    <cellStyle name="SAPBEXItemHeader 2 3 5" xfId="49890" xr:uid="{00000000-0005-0000-0000-000097C30000}"/>
    <cellStyle name="SAPBEXItemHeader 2 3 5 2" xfId="49891" xr:uid="{00000000-0005-0000-0000-000098C30000}"/>
    <cellStyle name="SAPBEXItemHeader 2 3 5 2 2" xfId="49892" xr:uid="{00000000-0005-0000-0000-000099C30000}"/>
    <cellStyle name="SAPBEXItemHeader 2 3 5 3" xfId="49893" xr:uid="{00000000-0005-0000-0000-00009AC30000}"/>
    <cellStyle name="SAPBEXItemHeader 2 3 6" xfId="49894" xr:uid="{00000000-0005-0000-0000-00009BC30000}"/>
    <cellStyle name="SAPBEXItemHeader 2 3 6 2" xfId="49895" xr:uid="{00000000-0005-0000-0000-00009CC30000}"/>
    <cellStyle name="SAPBEXItemHeader 2 3 7" xfId="49896" xr:uid="{00000000-0005-0000-0000-00009DC30000}"/>
    <cellStyle name="SAPBEXItemHeader 2 4" xfId="49897" xr:uid="{00000000-0005-0000-0000-00009EC30000}"/>
    <cellStyle name="SAPBEXItemHeader 2 4 2" xfId="49898" xr:uid="{00000000-0005-0000-0000-00009FC30000}"/>
    <cellStyle name="SAPBEXItemHeader 2 4 2 2" xfId="49899" xr:uid="{00000000-0005-0000-0000-0000A0C30000}"/>
    <cellStyle name="SAPBEXItemHeader 2 4 2 2 2" xfId="49900" xr:uid="{00000000-0005-0000-0000-0000A1C30000}"/>
    <cellStyle name="SAPBEXItemHeader 2 4 2 3" xfId="49901" xr:uid="{00000000-0005-0000-0000-0000A2C30000}"/>
    <cellStyle name="SAPBEXItemHeader 2 4 3" xfId="49902" xr:uid="{00000000-0005-0000-0000-0000A3C30000}"/>
    <cellStyle name="SAPBEXItemHeader 2 4 3 2" xfId="49903" xr:uid="{00000000-0005-0000-0000-0000A4C30000}"/>
    <cellStyle name="SAPBEXItemHeader 2 4 4" xfId="49904" xr:uid="{00000000-0005-0000-0000-0000A5C30000}"/>
    <cellStyle name="SAPBEXItemHeader 2 5" xfId="49905" xr:uid="{00000000-0005-0000-0000-0000A6C30000}"/>
    <cellStyle name="SAPBEXItemHeader 2 5 2" xfId="49906" xr:uid="{00000000-0005-0000-0000-0000A7C30000}"/>
    <cellStyle name="SAPBEXItemHeader 2 5 2 2" xfId="49907" xr:uid="{00000000-0005-0000-0000-0000A8C30000}"/>
    <cellStyle name="SAPBEXItemHeader 2 5 3" xfId="49908" xr:uid="{00000000-0005-0000-0000-0000A9C30000}"/>
    <cellStyle name="SAPBEXItemHeader 2 6" xfId="49909" xr:uid="{00000000-0005-0000-0000-0000AAC30000}"/>
    <cellStyle name="SAPBEXItemHeader 2 6 2" xfId="49910" xr:uid="{00000000-0005-0000-0000-0000ABC30000}"/>
    <cellStyle name="SAPBEXItemHeader 2 6 2 2" xfId="49911" xr:uid="{00000000-0005-0000-0000-0000ACC30000}"/>
    <cellStyle name="SAPBEXItemHeader 2 6 3" xfId="49912" xr:uid="{00000000-0005-0000-0000-0000ADC30000}"/>
    <cellStyle name="SAPBEXItemHeader 2 7" xfId="49913" xr:uid="{00000000-0005-0000-0000-0000AEC30000}"/>
    <cellStyle name="SAPBEXItemHeader 2 7 2" xfId="49914" xr:uid="{00000000-0005-0000-0000-0000AFC30000}"/>
    <cellStyle name="SAPBEXItemHeader 2 8" xfId="49915" xr:uid="{00000000-0005-0000-0000-0000B0C30000}"/>
    <cellStyle name="SAPBEXItemHeader 3" xfId="49916" xr:uid="{00000000-0005-0000-0000-0000B1C30000}"/>
    <cellStyle name="SAPBEXItemHeader 3 2" xfId="49917" xr:uid="{00000000-0005-0000-0000-0000B2C30000}"/>
    <cellStyle name="SAPBEXItemHeader 3 2 2" xfId="49918" xr:uid="{00000000-0005-0000-0000-0000B3C30000}"/>
    <cellStyle name="SAPBEXItemHeader 3 2 2 2" xfId="49919" xr:uid="{00000000-0005-0000-0000-0000B4C30000}"/>
    <cellStyle name="SAPBEXItemHeader 3 2 2 2 2" xfId="49920" xr:uid="{00000000-0005-0000-0000-0000B5C30000}"/>
    <cellStyle name="SAPBEXItemHeader 3 2 2 3" xfId="49921" xr:uid="{00000000-0005-0000-0000-0000B6C30000}"/>
    <cellStyle name="SAPBEXItemHeader 3 2 3" xfId="49922" xr:uid="{00000000-0005-0000-0000-0000B7C30000}"/>
    <cellStyle name="SAPBEXItemHeader 3 2 3 2" xfId="49923" xr:uid="{00000000-0005-0000-0000-0000B8C30000}"/>
    <cellStyle name="SAPBEXItemHeader 3 2 3 2 2" xfId="49924" xr:uid="{00000000-0005-0000-0000-0000B9C30000}"/>
    <cellStyle name="SAPBEXItemHeader 3 2 3 3" xfId="49925" xr:uid="{00000000-0005-0000-0000-0000BAC30000}"/>
    <cellStyle name="SAPBEXItemHeader 3 2 4" xfId="49926" xr:uid="{00000000-0005-0000-0000-0000BBC30000}"/>
    <cellStyle name="SAPBEXItemHeader 3 2 4 2" xfId="49927" xr:uid="{00000000-0005-0000-0000-0000BCC30000}"/>
    <cellStyle name="SAPBEXItemHeader 3 2 4 2 2" xfId="49928" xr:uid="{00000000-0005-0000-0000-0000BDC30000}"/>
    <cellStyle name="SAPBEXItemHeader 3 2 4 3" xfId="49929" xr:uid="{00000000-0005-0000-0000-0000BEC30000}"/>
    <cellStyle name="SAPBEXItemHeader 3 2 5" xfId="49930" xr:uid="{00000000-0005-0000-0000-0000BFC30000}"/>
    <cellStyle name="SAPBEXItemHeader 3 2 5 2" xfId="49931" xr:uid="{00000000-0005-0000-0000-0000C0C30000}"/>
    <cellStyle name="SAPBEXItemHeader 3 2 6" xfId="49932" xr:uid="{00000000-0005-0000-0000-0000C1C30000}"/>
    <cellStyle name="SAPBEXItemHeader 3 3" xfId="49933" xr:uid="{00000000-0005-0000-0000-0000C2C30000}"/>
    <cellStyle name="SAPBEXItemHeader 3 3 2" xfId="49934" xr:uid="{00000000-0005-0000-0000-0000C3C30000}"/>
    <cellStyle name="SAPBEXItemHeader 3 3 2 2" xfId="49935" xr:uid="{00000000-0005-0000-0000-0000C4C30000}"/>
    <cellStyle name="SAPBEXItemHeader 3 3 2 2 2" xfId="49936" xr:uid="{00000000-0005-0000-0000-0000C5C30000}"/>
    <cellStyle name="SAPBEXItemHeader 3 3 2 3" xfId="49937" xr:uid="{00000000-0005-0000-0000-0000C6C30000}"/>
    <cellStyle name="SAPBEXItemHeader 3 3 3" xfId="49938" xr:uid="{00000000-0005-0000-0000-0000C7C30000}"/>
    <cellStyle name="SAPBEXItemHeader 3 3 3 2" xfId="49939" xr:uid="{00000000-0005-0000-0000-0000C8C30000}"/>
    <cellStyle name="SAPBEXItemHeader 3 3 4" xfId="49940" xr:uid="{00000000-0005-0000-0000-0000C9C30000}"/>
    <cellStyle name="SAPBEXItemHeader 3 4" xfId="49941" xr:uid="{00000000-0005-0000-0000-0000CAC30000}"/>
    <cellStyle name="SAPBEXItemHeader 3 4 2" xfId="49942" xr:uid="{00000000-0005-0000-0000-0000CBC30000}"/>
    <cellStyle name="SAPBEXItemHeader 3 4 2 2" xfId="49943" xr:uid="{00000000-0005-0000-0000-0000CCC30000}"/>
    <cellStyle name="SAPBEXItemHeader 3 4 3" xfId="49944" xr:uid="{00000000-0005-0000-0000-0000CDC30000}"/>
    <cellStyle name="SAPBEXItemHeader 3 5" xfId="49945" xr:uid="{00000000-0005-0000-0000-0000CEC30000}"/>
    <cellStyle name="SAPBEXItemHeader 3 5 2" xfId="49946" xr:uid="{00000000-0005-0000-0000-0000CFC30000}"/>
    <cellStyle name="SAPBEXItemHeader 3 5 2 2" xfId="49947" xr:uid="{00000000-0005-0000-0000-0000D0C30000}"/>
    <cellStyle name="SAPBEXItemHeader 3 5 3" xfId="49948" xr:uid="{00000000-0005-0000-0000-0000D1C30000}"/>
    <cellStyle name="SAPBEXItemHeader 3 6" xfId="49949" xr:uid="{00000000-0005-0000-0000-0000D2C30000}"/>
    <cellStyle name="SAPBEXItemHeader 3 6 2" xfId="49950" xr:uid="{00000000-0005-0000-0000-0000D3C30000}"/>
    <cellStyle name="SAPBEXItemHeader 3 7" xfId="49951" xr:uid="{00000000-0005-0000-0000-0000D4C30000}"/>
    <cellStyle name="SAPBEXItemHeader 4" xfId="49952" xr:uid="{00000000-0005-0000-0000-0000D5C30000}"/>
    <cellStyle name="SAPBEXItemHeader 4 2" xfId="49953" xr:uid="{00000000-0005-0000-0000-0000D6C30000}"/>
    <cellStyle name="SAPBEXItemHeader 4 2 2" xfId="49954" xr:uid="{00000000-0005-0000-0000-0000D7C30000}"/>
    <cellStyle name="SAPBEXItemHeader 4 2 2 2" xfId="49955" xr:uid="{00000000-0005-0000-0000-0000D8C30000}"/>
    <cellStyle name="SAPBEXItemHeader 4 2 3" xfId="49956" xr:uid="{00000000-0005-0000-0000-0000D9C30000}"/>
    <cellStyle name="SAPBEXItemHeader 4 3" xfId="49957" xr:uid="{00000000-0005-0000-0000-0000DAC30000}"/>
    <cellStyle name="SAPBEXItemHeader 4 3 2" xfId="49958" xr:uid="{00000000-0005-0000-0000-0000DBC30000}"/>
    <cellStyle name="SAPBEXItemHeader 4 3 2 2" xfId="49959" xr:uid="{00000000-0005-0000-0000-0000DCC30000}"/>
    <cellStyle name="SAPBEXItemHeader 4 3 3" xfId="49960" xr:uid="{00000000-0005-0000-0000-0000DDC30000}"/>
    <cellStyle name="SAPBEXItemHeader 4 4" xfId="49961" xr:uid="{00000000-0005-0000-0000-0000DEC30000}"/>
    <cellStyle name="SAPBEXItemHeader 4 4 2" xfId="49962" xr:uid="{00000000-0005-0000-0000-0000DFC30000}"/>
    <cellStyle name="SAPBEXItemHeader 4 4 2 2" xfId="49963" xr:uid="{00000000-0005-0000-0000-0000E0C30000}"/>
    <cellStyle name="SAPBEXItemHeader 4 4 3" xfId="49964" xr:uid="{00000000-0005-0000-0000-0000E1C30000}"/>
    <cellStyle name="SAPBEXItemHeader 4 5" xfId="49965" xr:uid="{00000000-0005-0000-0000-0000E2C30000}"/>
    <cellStyle name="SAPBEXItemHeader 4 5 2" xfId="49966" xr:uid="{00000000-0005-0000-0000-0000E3C30000}"/>
    <cellStyle name="SAPBEXItemHeader 4 6" xfId="49967" xr:uid="{00000000-0005-0000-0000-0000E4C30000}"/>
    <cellStyle name="SAPBEXItemHeader 5" xfId="49968" xr:uid="{00000000-0005-0000-0000-0000E5C30000}"/>
    <cellStyle name="SAPBEXItemHeader 5 2" xfId="49969" xr:uid="{00000000-0005-0000-0000-0000E6C30000}"/>
    <cellStyle name="SAPBEXItemHeader 5 2 2" xfId="49970" xr:uid="{00000000-0005-0000-0000-0000E7C30000}"/>
    <cellStyle name="SAPBEXItemHeader 5 2 2 2" xfId="49971" xr:uid="{00000000-0005-0000-0000-0000E8C30000}"/>
    <cellStyle name="SAPBEXItemHeader 5 2 3" xfId="49972" xr:uid="{00000000-0005-0000-0000-0000E9C30000}"/>
    <cellStyle name="SAPBEXItemHeader 5 3" xfId="49973" xr:uid="{00000000-0005-0000-0000-0000EAC30000}"/>
    <cellStyle name="SAPBEXItemHeader 5 3 2" xfId="49974" xr:uid="{00000000-0005-0000-0000-0000EBC30000}"/>
    <cellStyle name="SAPBEXItemHeader 5 4" xfId="49975" xr:uid="{00000000-0005-0000-0000-0000ECC30000}"/>
    <cellStyle name="SAPBEXItemHeader 6" xfId="49976" xr:uid="{00000000-0005-0000-0000-0000EDC30000}"/>
    <cellStyle name="SAPBEXItemHeader 6 2" xfId="49977" xr:uid="{00000000-0005-0000-0000-0000EEC30000}"/>
    <cellStyle name="SAPBEXItemHeader 6 2 2" xfId="49978" xr:uid="{00000000-0005-0000-0000-0000EFC30000}"/>
    <cellStyle name="SAPBEXItemHeader 6 3" xfId="49979" xr:uid="{00000000-0005-0000-0000-0000F0C30000}"/>
    <cellStyle name="SAPBEXItemHeader 7" xfId="49980" xr:uid="{00000000-0005-0000-0000-0000F1C30000}"/>
    <cellStyle name="SAPBEXItemHeader 7 2" xfId="49981" xr:uid="{00000000-0005-0000-0000-0000F2C30000}"/>
    <cellStyle name="SAPBEXItemHeader 7 2 2" xfId="49982" xr:uid="{00000000-0005-0000-0000-0000F3C30000}"/>
    <cellStyle name="SAPBEXItemHeader 7 3" xfId="49983" xr:uid="{00000000-0005-0000-0000-0000F4C30000}"/>
    <cellStyle name="SAPBEXItemHeader 8" xfId="49984" xr:uid="{00000000-0005-0000-0000-0000F5C30000}"/>
    <cellStyle name="SAPBEXItemHeader 8 2" xfId="49985" xr:uid="{00000000-0005-0000-0000-0000F6C30000}"/>
    <cellStyle name="SAPBEXItemHeader 8 2 2" xfId="49986" xr:uid="{00000000-0005-0000-0000-0000F7C30000}"/>
    <cellStyle name="SAPBEXItemHeader 8 3" xfId="49987" xr:uid="{00000000-0005-0000-0000-0000F8C30000}"/>
    <cellStyle name="SAPBEXItemHeader 9" xfId="49988" xr:uid="{00000000-0005-0000-0000-0000F9C30000}"/>
    <cellStyle name="SAPBEXItemHeader 9 2" xfId="49989" xr:uid="{00000000-0005-0000-0000-0000FAC30000}"/>
    <cellStyle name="SAPBEXresData" xfId="69" xr:uid="{00000000-0005-0000-0000-0000FBC30000}"/>
    <cellStyle name="SAPBEXresData 10" xfId="49990" xr:uid="{00000000-0005-0000-0000-0000FCC30000}"/>
    <cellStyle name="SAPBEXresData 10 2" xfId="49991" xr:uid="{00000000-0005-0000-0000-0000FDC30000}"/>
    <cellStyle name="SAPBEXresData 11" xfId="49992" xr:uid="{00000000-0005-0000-0000-0000FEC30000}"/>
    <cellStyle name="SAPBEXresData 11 2" xfId="49993" xr:uid="{00000000-0005-0000-0000-0000FFC30000}"/>
    <cellStyle name="SAPBEXresData 12" xfId="49994" xr:uid="{00000000-0005-0000-0000-000000C40000}"/>
    <cellStyle name="SAPBEXresData 13" xfId="49995" xr:uid="{00000000-0005-0000-0000-000001C40000}"/>
    <cellStyle name="SAPBEXresData 2" xfId="49996" xr:uid="{00000000-0005-0000-0000-000002C40000}"/>
    <cellStyle name="SAPBEXresData 2 2" xfId="49997" xr:uid="{00000000-0005-0000-0000-000003C40000}"/>
    <cellStyle name="SAPBEXresData 2 2 2" xfId="49998" xr:uid="{00000000-0005-0000-0000-000004C40000}"/>
    <cellStyle name="SAPBEXresData 2 2 2 2" xfId="49999" xr:uid="{00000000-0005-0000-0000-000005C40000}"/>
    <cellStyle name="SAPBEXresData 2 2 3" xfId="50000" xr:uid="{00000000-0005-0000-0000-000006C40000}"/>
    <cellStyle name="SAPBEXresData 2 2 3 2" xfId="50001" xr:uid="{00000000-0005-0000-0000-000007C40000}"/>
    <cellStyle name="SAPBEXresData 2 2 3 2 2" xfId="50002" xr:uid="{00000000-0005-0000-0000-000008C40000}"/>
    <cellStyle name="SAPBEXresData 2 2 3 3" xfId="50003" xr:uid="{00000000-0005-0000-0000-000009C40000}"/>
    <cellStyle name="SAPBEXresData 2 2 4" xfId="50004" xr:uid="{00000000-0005-0000-0000-00000AC40000}"/>
    <cellStyle name="SAPBEXresData 2 3" xfId="50005" xr:uid="{00000000-0005-0000-0000-00000BC40000}"/>
    <cellStyle name="SAPBEXresData 2 3 2" xfId="50006" xr:uid="{00000000-0005-0000-0000-00000CC40000}"/>
    <cellStyle name="SAPBEXresData 2 3 2 2" xfId="50007" xr:uid="{00000000-0005-0000-0000-00000DC40000}"/>
    <cellStyle name="SAPBEXresData 2 3 3" xfId="50008" xr:uid="{00000000-0005-0000-0000-00000EC40000}"/>
    <cellStyle name="SAPBEXresData 2 4" xfId="50009" xr:uid="{00000000-0005-0000-0000-00000FC40000}"/>
    <cellStyle name="SAPBEXresData 2 4 2" xfId="50010" xr:uid="{00000000-0005-0000-0000-000010C40000}"/>
    <cellStyle name="SAPBEXresData 2 4 2 2" xfId="50011" xr:uid="{00000000-0005-0000-0000-000011C40000}"/>
    <cellStyle name="SAPBEXresData 2 4 3" xfId="50012" xr:uid="{00000000-0005-0000-0000-000012C40000}"/>
    <cellStyle name="SAPBEXresData 2 5" xfId="50013" xr:uid="{00000000-0005-0000-0000-000013C40000}"/>
    <cellStyle name="SAPBEXresData 2 5 2" xfId="50014" xr:uid="{00000000-0005-0000-0000-000014C40000}"/>
    <cellStyle name="SAPBEXresData 2 5 2 2" xfId="50015" xr:uid="{00000000-0005-0000-0000-000015C40000}"/>
    <cellStyle name="SAPBEXresData 2 5 3" xfId="50016" xr:uid="{00000000-0005-0000-0000-000016C40000}"/>
    <cellStyle name="SAPBEXresData 2 6" xfId="50017" xr:uid="{00000000-0005-0000-0000-000017C40000}"/>
    <cellStyle name="SAPBEXresData 2 6 2" xfId="50018" xr:uid="{00000000-0005-0000-0000-000018C40000}"/>
    <cellStyle name="SAPBEXresData 2 7" xfId="50019" xr:uid="{00000000-0005-0000-0000-000019C40000}"/>
    <cellStyle name="SAPBEXresData 3" xfId="50020" xr:uid="{00000000-0005-0000-0000-00001AC40000}"/>
    <cellStyle name="SAPBEXresData 3 2" xfId="50021" xr:uid="{00000000-0005-0000-0000-00001BC40000}"/>
    <cellStyle name="SAPBEXresData 3 2 2" xfId="50022" xr:uid="{00000000-0005-0000-0000-00001CC40000}"/>
    <cellStyle name="SAPBEXresData 3 3" xfId="50023" xr:uid="{00000000-0005-0000-0000-00001DC40000}"/>
    <cellStyle name="SAPBEXresData 3 3 2" xfId="50024" xr:uid="{00000000-0005-0000-0000-00001EC40000}"/>
    <cellStyle name="SAPBEXresData 3 3 2 2" xfId="50025" xr:uid="{00000000-0005-0000-0000-00001FC40000}"/>
    <cellStyle name="SAPBEXresData 3 3 3" xfId="50026" xr:uid="{00000000-0005-0000-0000-000020C40000}"/>
    <cellStyle name="SAPBEXresData 3 4" xfId="50027" xr:uid="{00000000-0005-0000-0000-000021C40000}"/>
    <cellStyle name="SAPBEXresData 3 4 2" xfId="50028" xr:uid="{00000000-0005-0000-0000-000022C40000}"/>
    <cellStyle name="SAPBEXresData 3 4 2 2" xfId="50029" xr:uid="{00000000-0005-0000-0000-000023C40000}"/>
    <cellStyle name="SAPBEXresData 3 4 3" xfId="50030" xr:uid="{00000000-0005-0000-0000-000024C40000}"/>
    <cellStyle name="SAPBEXresData 3 5" xfId="50031" xr:uid="{00000000-0005-0000-0000-000025C40000}"/>
    <cellStyle name="SAPBEXresData 4" xfId="50032" xr:uid="{00000000-0005-0000-0000-000026C40000}"/>
    <cellStyle name="SAPBEXresData 4 2" xfId="50033" xr:uid="{00000000-0005-0000-0000-000027C40000}"/>
    <cellStyle name="SAPBEXresData 4 2 2" xfId="50034" xr:uid="{00000000-0005-0000-0000-000028C40000}"/>
    <cellStyle name="SAPBEXresData 4 2 2 2" xfId="50035" xr:uid="{00000000-0005-0000-0000-000029C40000}"/>
    <cellStyle name="SAPBEXresData 4 2 3" xfId="50036" xr:uid="{00000000-0005-0000-0000-00002AC40000}"/>
    <cellStyle name="SAPBEXresData 4 2 3 2" xfId="50037" xr:uid="{00000000-0005-0000-0000-00002BC40000}"/>
    <cellStyle name="SAPBEXresData 4 2 3 2 2" xfId="50038" xr:uid="{00000000-0005-0000-0000-00002CC40000}"/>
    <cellStyle name="SAPBEXresData 4 2 3 3" xfId="50039" xr:uid="{00000000-0005-0000-0000-00002DC40000}"/>
    <cellStyle name="SAPBEXresData 4 2 4" xfId="50040" xr:uid="{00000000-0005-0000-0000-00002EC40000}"/>
    <cellStyle name="SAPBEXresData 4 3" xfId="50041" xr:uid="{00000000-0005-0000-0000-00002FC40000}"/>
    <cellStyle name="SAPBEXresData 4 3 2" xfId="50042" xr:uid="{00000000-0005-0000-0000-000030C40000}"/>
    <cellStyle name="SAPBEXresData 4 3 2 2" xfId="50043" xr:uid="{00000000-0005-0000-0000-000031C40000}"/>
    <cellStyle name="SAPBEXresData 4 3 3" xfId="50044" xr:uid="{00000000-0005-0000-0000-000032C40000}"/>
    <cellStyle name="SAPBEXresData 4 4" xfId="50045" xr:uid="{00000000-0005-0000-0000-000033C40000}"/>
    <cellStyle name="SAPBEXresData 4 4 2" xfId="50046" xr:uid="{00000000-0005-0000-0000-000034C40000}"/>
    <cellStyle name="SAPBEXresData 4 4 2 2" xfId="50047" xr:uid="{00000000-0005-0000-0000-000035C40000}"/>
    <cellStyle name="SAPBEXresData 4 4 3" xfId="50048" xr:uid="{00000000-0005-0000-0000-000036C40000}"/>
    <cellStyle name="SAPBEXresData 4 5" xfId="50049" xr:uid="{00000000-0005-0000-0000-000037C40000}"/>
    <cellStyle name="SAPBEXresData 4 5 2" xfId="50050" xr:uid="{00000000-0005-0000-0000-000038C40000}"/>
    <cellStyle name="SAPBEXresData 4 5 2 2" xfId="50051" xr:uid="{00000000-0005-0000-0000-000039C40000}"/>
    <cellStyle name="SAPBEXresData 4 5 3" xfId="50052" xr:uid="{00000000-0005-0000-0000-00003AC40000}"/>
    <cellStyle name="SAPBEXresData 4 6" xfId="50053" xr:uid="{00000000-0005-0000-0000-00003BC40000}"/>
    <cellStyle name="SAPBEXresData 5" xfId="50054" xr:uid="{00000000-0005-0000-0000-00003CC40000}"/>
    <cellStyle name="SAPBEXresData 5 2" xfId="50055" xr:uid="{00000000-0005-0000-0000-00003DC40000}"/>
    <cellStyle name="SAPBEXresData 5 2 2" xfId="50056" xr:uid="{00000000-0005-0000-0000-00003EC40000}"/>
    <cellStyle name="SAPBEXresData 5 3" xfId="50057" xr:uid="{00000000-0005-0000-0000-00003FC40000}"/>
    <cellStyle name="SAPBEXresData 6" xfId="50058" xr:uid="{00000000-0005-0000-0000-000040C40000}"/>
    <cellStyle name="SAPBEXresData 6 2" xfId="50059" xr:uid="{00000000-0005-0000-0000-000041C40000}"/>
    <cellStyle name="SAPBEXresData 6 2 2" xfId="50060" xr:uid="{00000000-0005-0000-0000-000042C40000}"/>
    <cellStyle name="SAPBEXresData 6 3" xfId="50061" xr:uid="{00000000-0005-0000-0000-000043C40000}"/>
    <cellStyle name="SAPBEXresData 7" xfId="50062" xr:uid="{00000000-0005-0000-0000-000044C40000}"/>
    <cellStyle name="SAPBEXresData 7 2" xfId="50063" xr:uid="{00000000-0005-0000-0000-000045C40000}"/>
    <cellStyle name="SAPBEXresData 7 2 2" xfId="50064" xr:uid="{00000000-0005-0000-0000-000046C40000}"/>
    <cellStyle name="SAPBEXresData 7 3" xfId="50065" xr:uid="{00000000-0005-0000-0000-000047C40000}"/>
    <cellStyle name="SAPBEXresData 8" xfId="50066" xr:uid="{00000000-0005-0000-0000-000048C40000}"/>
    <cellStyle name="SAPBEXresData 8 2" xfId="50067" xr:uid="{00000000-0005-0000-0000-000049C40000}"/>
    <cellStyle name="SAPBEXresData 9" xfId="50068" xr:uid="{00000000-0005-0000-0000-00004AC40000}"/>
    <cellStyle name="SAPBEXresData 9 2" xfId="50069" xr:uid="{00000000-0005-0000-0000-00004BC40000}"/>
    <cellStyle name="SAPBEXresDataEmph" xfId="70" xr:uid="{00000000-0005-0000-0000-00004CC40000}"/>
    <cellStyle name="SAPBEXresDataEmph 10" xfId="50070" xr:uid="{00000000-0005-0000-0000-00004DC40000}"/>
    <cellStyle name="SAPBEXresDataEmph 10 2" xfId="50071" xr:uid="{00000000-0005-0000-0000-00004EC40000}"/>
    <cellStyle name="SAPBEXresDataEmph 11" xfId="50072" xr:uid="{00000000-0005-0000-0000-00004FC40000}"/>
    <cellStyle name="SAPBEXresDataEmph 11 2" xfId="50073" xr:uid="{00000000-0005-0000-0000-000050C40000}"/>
    <cellStyle name="SAPBEXresDataEmph 12" xfId="50074" xr:uid="{00000000-0005-0000-0000-000051C40000}"/>
    <cellStyle name="SAPBEXresDataEmph 2" xfId="50075" xr:uid="{00000000-0005-0000-0000-000052C40000}"/>
    <cellStyle name="SAPBEXresDataEmph 2 2" xfId="50076" xr:uid="{00000000-0005-0000-0000-000053C40000}"/>
    <cellStyle name="SAPBEXresDataEmph 2 2 2" xfId="50077" xr:uid="{00000000-0005-0000-0000-000054C40000}"/>
    <cellStyle name="SAPBEXresDataEmph 2 2 3" xfId="50078" xr:uid="{00000000-0005-0000-0000-000055C40000}"/>
    <cellStyle name="SAPBEXresDataEmph 2 2 3 2" xfId="50079" xr:uid="{00000000-0005-0000-0000-000056C40000}"/>
    <cellStyle name="SAPBEXresDataEmph 2 2 3 2 2" xfId="50080" xr:uid="{00000000-0005-0000-0000-000057C40000}"/>
    <cellStyle name="SAPBEXresDataEmph 2 2 3 3" xfId="50081" xr:uid="{00000000-0005-0000-0000-000058C40000}"/>
    <cellStyle name="SAPBEXresDataEmph 2 3" xfId="50082" xr:uid="{00000000-0005-0000-0000-000059C40000}"/>
    <cellStyle name="SAPBEXresDataEmph 2 3 2" xfId="50083" xr:uid="{00000000-0005-0000-0000-00005AC40000}"/>
    <cellStyle name="SAPBEXresDataEmph 2 4" xfId="50084" xr:uid="{00000000-0005-0000-0000-00005BC40000}"/>
    <cellStyle name="SAPBEXresDataEmph 2 4 2" xfId="50085" xr:uid="{00000000-0005-0000-0000-00005CC40000}"/>
    <cellStyle name="SAPBEXresDataEmph 2 4 2 2" xfId="50086" xr:uid="{00000000-0005-0000-0000-00005DC40000}"/>
    <cellStyle name="SAPBEXresDataEmph 2 4 3" xfId="50087" xr:uid="{00000000-0005-0000-0000-00005EC40000}"/>
    <cellStyle name="SAPBEXresDataEmph 2 5" xfId="50088" xr:uid="{00000000-0005-0000-0000-00005FC40000}"/>
    <cellStyle name="SAPBEXresDataEmph 2 5 2" xfId="50089" xr:uid="{00000000-0005-0000-0000-000060C40000}"/>
    <cellStyle name="SAPBEXresDataEmph 2 5 2 2" xfId="50090" xr:uid="{00000000-0005-0000-0000-000061C40000}"/>
    <cellStyle name="SAPBEXresDataEmph 2 5 3" xfId="50091" xr:uid="{00000000-0005-0000-0000-000062C40000}"/>
    <cellStyle name="SAPBEXresDataEmph 2 6" xfId="50092" xr:uid="{00000000-0005-0000-0000-000063C40000}"/>
    <cellStyle name="SAPBEXresDataEmph 3" xfId="50093" xr:uid="{00000000-0005-0000-0000-000064C40000}"/>
    <cellStyle name="SAPBEXresDataEmph 3 2" xfId="50094" xr:uid="{00000000-0005-0000-0000-000065C40000}"/>
    <cellStyle name="SAPBEXresDataEmph 3 2 2" xfId="50095" xr:uid="{00000000-0005-0000-0000-000066C40000}"/>
    <cellStyle name="SAPBEXresDataEmph 3 3" xfId="50096" xr:uid="{00000000-0005-0000-0000-000067C40000}"/>
    <cellStyle name="SAPBEXresDataEmph 3 3 2" xfId="50097" xr:uid="{00000000-0005-0000-0000-000068C40000}"/>
    <cellStyle name="SAPBEXresDataEmph 3 3 2 2" xfId="50098" xr:uid="{00000000-0005-0000-0000-000069C40000}"/>
    <cellStyle name="SAPBEXresDataEmph 3 3 3" xfId="50099" xr:uid="{00000000-0005-0000-0000-00006AC40000}"/>
    <cellStyle name="SAPBEXresDataEmph 3 4" xfId="50100" xr:uid="{00000000-0005-0000-0000-00006BC40000}"/>
    <cellStyle name="SAPBEXresDataEmph 3 4 2" xfId="50101" xr:uid="{00000000-0005-0000-0000-00006CC40000}"/>
    <cellStyle name="SAPBEXresDataEmph 3 4 2 2" xfId="50102" xr:uid="{00000000-0005-0000-0000-00006DC40000}"/>
    <cellStyle name="SAPBEXresDataEmph 3 4 3" xfId="50103" xr:uid="{00000000-0005-0000-0000-00006EC40000}"/>
    <cellStyle name="SAPBEXresDataEmph 3 5" xfId="50104" xr:uid="{00000000-0005-0000-0000-00006FC40000}"/>
    <cellStyle name="SAPBEXresDataEmph 4" xfId="50105" xr:uid="{00000000-0005-0000-0000-000070C40000}"/>
    <cellStyle name="SAPBEXresDataEmph 4 2" xfId="50106" xr:uid="{00000000-0005-0000-0000-000071C40000}"/>
    <cellStyle name="SAPBEXresDataEmph 4 2 2" xfId="50107" xr:uid="{00000000-0005-0000-0000-000072C40000}"/>
    <cellStyle name="SAPBEXresDataEmph 4 2 2 2" xfId="50108" xr:uid="{00000000-0005-0000-0000-000073C40000}"/>
    <cellStyle name="SAPBEXresDataEmph 4 2 3" xfId="50109" xr:uid="{00000000-0005-0000-0000-000074C40000}"/>
    <cellStyle name="SAPBEXresDataEmph 4 2 3 2" xfId="50110" xr:uid="{00000000-0005-0000-0000-000075C40000}"/>
    <cellStyle name="SAPBEXresDataEmph 4 2 3 2 2" xfId="50111" xr:uid="{00000000-0005-0000-0000-000076C40000}"/>
    <cellStyle name="SAPBEXresDataEmph 4 2 3 3" xfId="50112" xr:uid="{00000000-0005-0000-0000-000077C40000}"/>
    <cellStyle name="SAPBEXresDataEmph 4 2 4" xfId="50113" xr:uid="{00000000-0005-0000-0000-000078C40000}"/>
    <cellStyle name="SAPBEXresDataEmph 4 3" xfId="50114" xr:uid="{00000000-0005-0000-0000-000079C40000}"/>
    <cellStyle name="SAPBEXresDataEmph 4 3 2" xfId="50115" xr:uid="{00000000-0005-0000-0000-00007AC40000}"/>
    <cellStyle name="SAPBEXresDataEmph 4 3 2 2" xfId="50116" xr:uid="{00000000-0005-0000-0000-00007BC40000}"/>
    <cellStyle name="SAPBEXresDataEmph 4 3 3" xfId="50117" xr:uid="{00000000-0005-0000-0000-00007CC40000}"/>
    <cellStyle name="SAPBEXresDataEmph 4 4" xfId="50118" xr:uid="{00000000-0005-0000-0000-00007DC40000}"/>
    <cellStyle name="SAPBEXresDataEmph 4 4 2" xfId="50119" xr:uid="{00000000-0005-0000-0000-00007EC40000}"/>
    <cellStyle name="SAPBEXresDataEmph 4 4 2 2" xfId="50120" xr:uid="{00000000-0005-0000-0000-00007FC40000}"/>
    <cellStyle name="SAPBEXresDataEmph 4 4 3" xfId="50121" xr:uid="{00000000-0005-0000-0000-000080C40000}"/>
    <cellStyle name="SAPBEXresDataEmph 4 5" xfId="50122" xr:uid="{00000000-0005-0000-0000-000081C40000}"/>
    <cellStyle name="SAPBEXresDataEmph 4 5 2" xfId="50123" xr:uid="{00000000-0005-0000-0000-000082C40000}"/>
    <cellStyle name="SAPBEXresDataEmph 4 5 2 2" xfId="50124" xr:uid="{00000000-0005-0000-0000-000083C40000}"/>
    <cellStyle name="SAPBEXresDataEmph 4 5 3" xfId="50125" xr:uid="{00000000-0005-0000-0000-000084C40000}"/>
    <cellStyle name="SAPBEXresDataEmph 4 6" xfId="50126" xr:uid="{00000000-0005-0000-0000-000085C40000}"/>
    <cellStyle name="SAPBEXresDataEmph 5" xfId="50127" xr:uid="{00000000-0005-0000-0000-000086C40000}"/>
    <cellStyle name="SAPBEXresDataEmph 5 2" xfId="50128" xr:uid="{00000000-0005-0000-0000-000087C40000}"/>
    <cellStyle name="SAPBEXresDataEmph 5 2 2" xfId="50129" xr:uid="{00000000-0005-0000-0000-000088C40000}"/>
    <cellStyle name="SAPBEXresDataEmph 5 3" xfId="50130" xr:uid="{00000000-0005-0000-0000-000089C40000}"/>
    <cellStyle name="SAPBEXresDataEmph 6" xfId="50131" xr:uid="{00000000-0005-0000-0000-00008AC40000}"/>
    <cellStyle name="SAPBEXresDataEmph 6 2" xfId="50132" xr:uid="{00000000-0005-0000-0000-00008BC40000}"/>
    <cellStyle name="SAPBEXresDataEmph 6 2 2" xfId="50133" xr:uid="{00000000-0005-0000-0000-00008CC40000}"/>
    <cellStyle name="SAPBEXresDataEmph 6 3" xfId="50134" xr:uid="{00000000-0005-0000-0000-00008DC40000}"/>
    <cellStyle name="SAPBEXresDataEmph 7" xfId="50135" xr:uid="{00000000-0005-0000-0000-00008EC40000}"/>
    <cellStyle name="SAPBEXresDataEmph 7 2" xfId="50136" xr:uid="{00000000-0005-0000-0000-00008FC40000}"/>
    <cellStyle name="SAPBEXresDataEmph 7 2 2" xfId="50137" xr:uid="{00000000-0005-0000-0000-000090C40000}"/>
    <cellStyle name="SAPBEXresDataEmph 7 3" xfId="50138" xr:uid="{00000000-0005-0000-0000-000091C40000}"/>
    <cellStyle name="SAPBEXresDataEmph 8" xfId="50139" xr:uid="{00000000-0005-0000-0000-000092C40000}"/>
    <cellStyle name="SAPBEXresDataEmph 8 2" xfId="50140" xr:uid="{00000000-0005-0000-0000-000093C40000}"/>
    <cellStyle name="SAPBEXresDataEmph 9" xfId="50141" xr:uid="{00000000-0005-0000-0000-000094C40000}"/>
    <cellStyle name="SAPBEXresDataEmph 9 2" xfId="50142" xr:uid="{00000000-0005-0000-0000-000095C40000}"/>
    <cellStyle name="SAPBEXresItem" xfId="71" xr:uid="{00000000-0005-0000-0000-000096C40000}"/>
    <cellStyle name="SAPBEXresItem 10" xfId="50143" xr:uid="{00000000-0005-0000-0000-000097C40000}"/>
    <cellStyle name="SAPBEXresItem 10 2" xfId="50144" xr:uid="{00000000-0005-0000-0000-000098C40000}"/>
    <cellStyle name="SAPBEXresItem 11" xfId="50145" xr:uid="{00000000-0005-0000-0000-000099C40000}"/>
    <cellStyle name="SAPBEXresItem 11 2" xfId="50146" xr:uid="{00000000-0005-0000-0000-00009AC40000}"/>
    <cellStyle name="SAPBEXresItem 12" xfId="50147" xr:uid="{00000000-0005-0000-0000-00009BC40000}"/>
    <cellStyle name="SAPBEXresItem 13" xfId="50148" xr:uid="{00000000-0005-0000-0000-00009CC40000}"/>
    <cellStyle name="SAPBEXresItem 2" xfId="50149" xr:uid="{00000000-0005-0000-0000-00009DC40000}"/>
    <cellStyle name="SAPBEXresItem 2 2" xfId="50150" xr:uid="{00000000-0005-0000-0000-00009EC40000}"/>
    <cellStyle name="SAPBEXresItem 2 2 2" xfId="50151" xr:uid="{00000000-0005-0000-0000-00009FC40000}"/>
    <cellStyle name="SAPBEXresItem 2 2 2 2" xfId="50152" xr:uid="{00000000-0005-0000-0000-0000A0C40000}"/>
    <cellStyle name="SAPBEXresItem 2 2 3" xfId="50153" xr:uid="{00000000-0005-0000-0000-0000A1C40000}"/>
    <cellStyle name="SAPBEXresItem 2 2 3 2" xfId="50154" xr:uid="{00000000-0005-0000-0000-0000A2C40000}"/>
    <cellStyle name="SAPBEXresItem 2 2 3 2 2" xfId="50155" xr:uid="{00000000-0005-0000-0000-0000A3C40000}"/>
    <cellStyle name="SAPBEXresItem 2 2 3 3" xfId="50156" xr:uid="{00000000-0005-0000-0000-0000A4C40000}"/>
    <cellStyle name="SAPBEXresItem 2 2 4" xfId="50157" xr:uid="{00000000-0005-0000-0000-0000A5C40000}"/>
    <cellStyle name="SAPBEXresItem 2 3" xfId="50158" xr:uid="{00000000-0005-0000-0000-0000A6C40000}"/>
    <cellStyle name="SAPBEXresItem 2 3 2" xfId="50159" xr:uid="{00000000-0005-0000-0000-0000A7C40000}"/>
    <cellStyle name="SAPBEXresItem 2 3 2 2" xfId="50160" xr:uid="{00000000-0005-0000-0000-0000A8C40000}"/>
    <cellStyle name="SAPBEXresItem 2 3 3" xfId="50161" xr:uid="{00000000-0005-0000-0000-0000A9C40000}"/>
    <cellStyle name="SAPBEXresItem 2 4" xfId="50162" xr:uid="{00000000-0005-0000-0000-0000AAC40000}"/>
    <cellStyle name="SAPBEXresItem 2 4 2" xfId="50163" xr:uid="{00000000-0005-0000-0000-0000ABC40000}"/>
    <cellStyle name="SAPBEXresItem 2 4 2 2" xfId="50164" xr:uid="{00000000-0005-0000-0000-0000ACC40000}"/>
    <cellStyle name="SAPBEXresItem 2 4 3" xfId="50165" xr:uid="{00000000-0005-0000-0000-0000ADC40000}"/>
    <cellStyle name="SAPBEXresItem 2 5" xfId="50166" xr:uid="{00000000-0005-0000-0000-0000AEC40000}"/>
    <cellStyle name="SAPBEXresItem 2 5 2" xfId="50167" xr:uid="{00000000-0005-0000-0000-0000AFC40000}"/>
    <cellStyle name="SAPBEXresItem 2 5 2 2" xfId="50168" xr:uid="{00000000-0005-0000-0000-0000B0C40000}"/>
    <cellStyle name="SAPBEXresItem 2 5 3" xfId="50169" xr:uid="{00000000-0005-0000-0000-0000B1C40000}"/>
    <cellStyle name="SAPBEXresItem 2 6" xfId="50170" xr:uid="{00000000-0005-0000-0000-0000B2C40000}"/>
    <cellStyle name="SAPBEXresItem 2 6 2" xfId="50171" xr:uid="{00000000-0005-0000-0000-0000B3C40000}"/>
    <cellStyle name="SAPBEXresItem 2 7" xfId="50172" xr:uid="{00000000-0005-0000-0000-0000B4C40000}"/>
    <cellStyle name="SAPBEXresItem 3" xfId="50173" xr:uid="{00000000-0005-0000-0000-0000B5C40000}"/>
    <cellStyle name="SAPBEXresItem 3 2" xfId="50174" xr:uid="{00000000-0005-0000-0000-0000B6C40000}"/>
    <cellStyle name="SAPBEXresItem 3 2 2" xfId="50175" xr:uid="{00000000-0005-0000-0000-0000B7C40000}"/>
    <cellStyle name="SAPBEXresItem 3 3" xfId="50176" xr:uid="{00000000-0005-0000-0000-0000B8C40000}"/>
    <cellStyle name="SAPBEXresItem 3 3 2" xfId="50177" xr:uid="{00000000-0005-0000-0000-0000B9C40000}"/>
    <cellStyle name="SAPBEXresItem 3 3 2 2" xfId="50178" xr:uid="{00000000-0005-0000-0000-0000BAC40000}"/>
    <cellStyle name="SAPBEXresItem 3 3 3" xfId="50179" xr:uid="{00000000-0005-0000-0000-0000BBC40000}"/>
    <cellStyle name="SAPBEXresItem 3 4" xfId="50180" xr:uid="{00000000-0005-0000-0000-0000BCC40000}"/>
    <cellStyle name="SAPBEXresItem 3 4 2" xfId="50181" xr:uid="{00000000-0005-0000-0000-0000BDC40000}"/>
    <cellStyle name="SAPBEXresItem 3 4 2 2" xfId="50182" xr:uid="{00000000-0005-0000-0000-0000BEC40000}"/>
    <cellStyle name="SAPBEXresItem 3 4 3" xfId="50183" xr:uid="{00000000-0005-0000-0000-0000BFC40000}"/>
    <cellStyle name="SAPBEXresItem 3 5" xfId="50184" xr:uid="{00000000-0005-0000-0000-0000C0C40000}"/>
    <cellStyle name="SAPBEXresItem 4" xfId="50185" xr:uid="{00000000-0005-0000-0000-0000C1C40000}"/>
    <cellStyle name="SAPBEXresItem 4 2" xfId="50186" xr:uid="{00000000-0005-0000-0000-0000C2C40000}"/>
    <cellStyle name="SAPBEXresItem 4 2 2" xfId="50187" xr:uid="{00000000-0005-0000-0000-0000C3C40000}"/>
    <cellStyle name="SAPBEXresItem 4 2 2 2" xfId="50188" xr:uid="{00000000-0005-0000-0000-0000C4C40000}"/>
    <cellStyle name="SAPBEXresItem 4 2 3" xfId="50189" xr:uid="{00000000-0005-0000-0000-0000C5C40000}"/>
    <cellStyle name="SAPBEXresItem 4 2 3 2" xfId="50190" xr:uid="{00000000-0005-0000-0000-0000C6C40000}"/>
    <cellStyle name="SAPBEXresItem 4 2 3 2 2" xfId="50191" xr:uid="{00000000-0005-0000-0000-0000C7C40000}"/>
    <cellStyle name="SAPBEXresItem 4 2 3 3" xfId="50192" xr:uid="{00000000-0005-0000-0000-0000C8C40000}"/>
    <cellStyle name="SAPBEXresItem 4 2 4" xfId="50193" xr:uid="{00000000-0005-0000-0000-0000C9C40000}"/>
    <cellStyle name="SAPBEXresItem 4 3" xfId="50194" xr:uid="{00000000-0005-0000-0000-0000CAC40000}"/>
    <cellStyle name="SAPBEXresItem 4 3 2" xfId="50195" xr:uid="{00000000-0005-0000-0000-0000CBC40000}"/>
    <cellStyle name="SAPBEXresItem 4 3 2 2" xfId="50196" xr:uid="{00000000-0005-0000-0000-0000CCC40000}"/>
    <cellStyle name="SAPBEXresItem 4 3 3" xfId="50197" xr:uid="{00000000-0005-0000-0000-0000CDC40000}"/>
    <cellStyle name="SAPBEXresItem 4 4" xfId="50198" xr:uid="{00000000-0005-0000-0000-0000CEC40000}"/>
    <cellStyle name="SAPBEXresItem 4 4 2" xfId="50199" xr:uid="{00000000-0005-0000-0000-0000CFC40000}"/>
    <cellStyle name="SAPBEXresItem 4 4 2 2" xfId="50200" xr:uid="{00000000-0005-0000-0000-0000D0C40000}"/>
    <cellStyle name="SAPBEXresItem 4 4 3" xfId="50201" xr:uid="{00000000-0005-0000-0000-0000D1C40000}"/>
    <cellStyle name="SAPBEXresItem 4 5" xfId="50202" xr:uid="{00000000-0005-0000-0000-0000D2C40000}"/>
    <cellStyle name="SAPBEXresItem 4 5 2" xfId="50203" xr:uid="{00000000-0005-0000-0000-0000D3C40000}"/>
    <cellStyle name="SAPBEXresItem 4 5 2 2" xfId="50204" xr:uid="{00000000-0005-0000-0000-0000D4C40000}"/>
    <cellStyle name="SAPBEXresItem 4 5 3" xfId="50205" xr:uid="{00000000-0005-0000-0000-0000D5C40000}"/>
    <cellStyle name="SAPBEXresItem 4 6" xfId="50206" xr:uid="{00000000-0005-0000-0000-0000D6C40000}"/>
    <cellStyle name="SAPBEXresItem 5" xfId="50207" xr:uid="{00000000-0005-0000-0000-0000D7C40000}"/>
    <cellStyle name="SAPBEXresItem 5 2" xfId="50208" xr:uid="{00000000-0005-0000-0000-0000D8C40000}"/>
    <cellStyle name="SAPBEXresItem 5 2 2" xfId="50209" xr:uid="{00000000-0005-0000-0000-0000D9C40000}"/>
    <cellStyle name="SAPBEXresItem 5 3" xfId="50210" xr:uid="{00000000-0005-0000-0000-0000DAC40000}"/>
    <cellStyle name="SAPBEXresItem 6" xfId="50211" xr:uid="{00000000-0005-0000-0000-0000DBC40000}"/>
    <cellStyle name="SAPBEXresItem 6 2" xfId="50212" xr:uid="{00000000-0005-0000-0000-0000DCC40000}"/>
    <cellStyle name="SAPBEXresItem 6 2 2" xfId="50213" xr:uid="{00000000-0005-0000-0000-0000DDC40000}"/>
    <cellStyle name="SAPBEXresItem 6 3" xfId="50214" xr:uid="{00000000-0005-0000-0000-0000DEC40000}"/>
    <cellStyle name="SAPBEXresItem 7" xfId="50215" xr:uid="{00000000-0005-0000-0000-0000DFC40000}"/>
    <cellStyle name="SAPBEXresItem 7 2" xfId="50216" xr:uid="{00000000-0005-0000-0000-0000E0C40000}"/>
    <cellStyle name="SAPBEXresItem 7 2 2" xfId="50217" xr:uid="{00000000-0005-0000-0000-0000E1C40000}"/>
    <cellStyle name="SAPBEXresItem 7 3" xfId="50218" xr:uid="{00000000-0005-0000-0000-0000E2C40000}"/>
    <cellStyle name="SAPBEXresItem 8" xfId="50219" xr:uid="{00000000-0005-0000-0000-0000E3C40000}"/>
    <cellStyle name="SAPBEXresItem 8 2" xfId="50220" xr:uid="{00000000-0005-0000-0000-0000E4C40000}"/>
    <cellStyle name="SAPBEXresItem 9" xfId="50221" xr:uid="{00000000-0005-0000-0000-0000E5C40000}"/>
    <cellStyle name="SAPBEXresItem 9 2" xfId="50222" xr:uid="{00000000-0005-0000-0000-0000E6C40000}"/>
    <cellStyle name="SAPBEXresItemX" xfId="72" xr:uid="{00000000-0005-0000-0000-0000E7C40000}"/>
    <cellStyle name="SAPBEXresItemX 10" xfId="50223" xr:uid="{00000000-0005-0000-0000-0000E8C40000}"/>
    <cellStyle name="SAPBEXresItemX 10 2" xfId="50224" xr:uid="{00000000-0005-0000-0000-0000E9C40000}"/>
    <cellStyle name="SAPBEXresItemX 10 2 2" xfId="50225" xr:uid="{00000000-0005-0000-0000-0000EAC40000}"/>
    <cellStyle name="SAPBEXresItemX 10 3" xfId="50226" xr:uid="{00000000-0005-0000-0000-0000EBC40000}"/>
    <cellStyle name="SAPBEXresItemX 11" xfId="50227" xr:uid="{00000000-0005-0000-0000-0000ECC40000}"/>
    <cellStyle name="SAPBEXresItemX 11 2" xfId="50228" xr:uid="{00000000-0005-0000-0000-0000EDC40000}"/>
    <cellStyle name="SAPBEXresItemX 12" xfId="50229" xr:uid="{00000000-0005-0000-0000-0000EEC40000}"/>
    <cellStyle name="SAPBEXresItemX 12 2" xfId="50230" xr:uid="{00000000-0005-0000-0000-0000EFC40000}"/>
    <cellStyle name="SAPBEXresItemX 12 2 2" xfId="50231" xr:uid="{00000000-0005-0000-0000-0000F0C40000}"/>
    <cellStyle name="SAPBEXresItemX 12 3" xfId="50232" xr:uid="{00000000-0005-0000-0000-0000F1C40000}"/>
    <cellStyle name="SAPBEXresItemX 12 3 2" xfId="50233" xr:uid="{00000000-0005-0000-0000-0000F2C40000}"/>
    <cellStyle name="SAPBEXresItemX 12 4" xfId="50234" xr:uid="{00000000-0005-0000-0000-0000F3C40000}"/>
    <cellStyle name="SAPBEXresItemX 13" xfId="50235" xr:uid="{00000000-0005-0000-0000-0000F4C40000}"/>
    <cellStyle name="SAPBEXresItemX 13 2" xfId="50236" xr:uid="{00000000-0005-0000-0000-0000F5C40000}"/>
    <cellStyle name="SAPBEXresItemX 14" xfId="50237" xr:uid="{00000000-0005-0000-0000-0000F6C40000}"/>
    <cellStyle name="SAPBEXresItemX 14 2" xfId="50238" xr:uid="{00000000-0005-0000-0000-0000F7C40000}"/>
    <cellStyle name="SAPBEXresItemX 15" xfId="50239" xr:uid="{00000000-0005-0000-0000-0000F8C40000}"/>
    <cellStyle name="SAPBEXresItemX 15 2" xfId="50240" xr:uid="{00000000-0005-0000-0000-0000F9C40000}"/>
    <cellStyle name="SAPBEXresItemX 16" xfId="50241" xr:uid="{00000000-0005-0000-0000-0000FAC40000}"/>
    <cellStyle name="SAPBEXresItemX 17" xfId="50242" xr:uid="{00000000-0005-0000-0000-0000FBC40000}"/>
    <cellStyle name="SAPBEXresItemX 2" xfId="50243" xr:uid="{00000000-0005-0000-0000-0000FCC40000}"/>
    <cellStyle name="SAPBEXresItemX 2 10" xfId="50244" xr:uid="{00000000-0005-0000-0000-0000FDC40000}"/>
    <cellStyle name="SAPBEXresItemX 2 2" xfId="50245" xr:uid="{00000000-0005-0000-0000-0000FEC40000}"/>
    <cellStyle name="SAPBEXresItemX 2 2 2" xfId="50246" xr:uid="{00000000-0005-0000-0000-0000FFC40000}"/>
    <cellStyle name="SAPBEXresItemX 2 2 2 2" xfId="50247" xr:uid="{00000000-0005-0000-0000-000000C50000}"/>
    <cellStyle name="SAPBEXresItemX 2 2 2 2 2" xfId="50248" xr:uid="{00000000-0005-0000-0000-000001C50000}"/>
    <cellStyle name="SAPBEXresItemX 2 2 2 2 2 2" xfId="50249" xr:uid="{00000000-0005-0000-0000-000002C50000}"/>
    <cellStyle name="SAPBEXresItemX 2 2 2 2 3" xfId="50250" xr:uid="{00000000-0005-0000-0000-000003C50000}"/>
    <cellStyle name="SAPBEXresItemX 2 2 2 3" xfId="50251" xr:uid="{00000000-0005-0000-0000-000004C50000}"/>
    <cellStyle name="SAPBEXresItemX 2 2 2 3 2" xfId="50252" xr:uid="{00000000-0005-0000-0000-000005C50000}"/>
    <cellStyle name="SAPBEXresItemX 2 2 2 4" xfId="50253" xr:uid="{00000000-0005-0000-0000-000006C50000}"/>
    <cellStyle name="SAPBEXresItemX 2 2 3" xfId="50254" xr:uid="{00000000-0005-0000-0000-000007C50000}"/>
    <cellStyle name="SAPBEXresItemX 2 2 3 2" xfId="50255" xr:uid="{00000000-0005-0000-0000-000008C50000}"/>
    <cellStyle name="SAPBEXresItemX 2 2 3 2 2" xfId="50256" xr:uid="{00000000-0005-0000-0000-000009C50000}"/>
    <cellStyle name="SAPBEXresItemX 2 2 3 3" xfId="50257" xr:uid="{00000000-0005-0000-0000-00000AC50000}"/>
    <cellStyle name="SAPBEXresItemX 2 2 4" xfId="50258" xr:uid="{00000000-0005-0000-0000-00000BC50000}"/>
    <cellStyle name="SAPBEXresItemX 2 2 4 2" xfId="50259" xr:uid="{00000000-0005-0000-0000-00000CC50000}"/>
    <cellStyle name="SAPBEXresItemX 2 2 4 2 2" xfId="50260" xr:uid="{00000000-0005-0000-0000-00000DC50000}"/>
    <cellStyle name="SAPBEXresItemX 2 2 4 3" xfId="50261" xr:uid="{00000000-0005-0000-0000-00000EC50000}"/>
    <cellStyle name="SAPBEXresItemX 2 2 5" xfId="50262" xr:uid="{00000000-0005-0000-0000-00000FC50000}"/>
    <cellStyle name="SAPBEXresItemX 2 2 5 2" xfId="50263" xr:uid="{00000000-0005-0000-0000-000010C50000}"/>
    <cellStyle name="SAPBEXresItemX 2 2 5 2 2" xfId="50264" xr:uid="{00000000-0005-0000-0000-000011C50000}"/>
    <cellStyle name="SAPBEXresItemX 2 2 5 3" xfId="50265" xr:uid="{00000000-0005-0000-0000-000012C50000}"/>
    <cellStyle name="SAPBEXresItemX 2 2 6" xfId="50266" xr:uid="{00000000-0005-0000-0000-000013C50000}"/>
    <cellStyle name="SAPBEXresItemX 2 2 6 2" xfId="50267" xr:uid="{00000000-0005-0000-0000-000014C50000}"/>
    <cellStyle name="SAPBEXresItemX 2 2 7" xfId="50268" xr:uid="{00000000-0005-0000-0000-000015C50000}"/>
    <cellStyle name="SAPBEXresItemX 2 3" xfId="50269" xr:uid="{00000000-0005-0000-0000-000016C50000}"/>
    <cellStyle name="SAPBEXresItemX 2 3 2" xfId="50270" xr:uid="{00000000-0005-0000-0000-000017C50000}"/>
    <cellStyle name="SAPBEXresItemX 2 3 2 2" xfId="50271" xr:uid="{00000000-0005-0000-0000-000018C50000}"/>
    <cellStyle name="SAPBEXresItemX 2 3 2 2 2" xfId="50272" xr:uid="{00000000-0005-0000-0000-000019C50000}"/>
    <cellStyle name="SAPBEXresItemX 2 3 2 2 2 2" xfId="50273" xr:uid="{00000000-0005-0000-0000-00001AC50000}"/>
    <cellStyle name="SAPBEXresItemX 2 3 2 2 2 2 2" xfId="50274" xr:uid="{00000000-0005-0000-0000-00001BC50000}"/>
    <cellStyle name="SAPBEXresItemX 2 3 2 2 2 3" xfId="50275" xr:uid="{00000000-0005-0000-0000-00001CC50000}"/>
    <cellStyle name="SAPBEXresItemX 2 3 2 2 3" xfId="50276" xr:uid="{00000000-0005-0000-0000-00001DC50000}"/>
    <cellStyle name="SAPBEXresItemX 2 3 2 2 3 2" xfId="50277" xr:uid="{00000000-0005-0000-0000-00001EC50000}"/>
    <cellStyle name="SAPBEXresItemX 2 3 2 2 4" xfId="50278" xr:uid="{00000000-0005-0000-0000-00001FC50000}"/>
    <cellStyle name="SAPBEXresItemX 2 3 2 3" xfId="50279" xr:uid="{00000000-0005-0000-0000-000020C50000}"/>
    <cellStyle name="SAPBEXresItemX 2 3 2 3 2" xfId="50280" xr:uid="{00000000-0005-0000-0000-000021C50000}"/>
    <cellStyle name="SAPBEXresItemX 2 3 2 3 2 2" xfId="50281" xr:uid="{00000000-0005-0000-0000-000022C50000}"/>
    <cellStyle name="SAPBEXresItemX 2 3 2 3 3" xfId="50282" xr:uid="{00000000-0005-0000-0000-000023C50000}"/>
    <cellStyle name="SAPBEXresItemX 2 3 2 4" xfId="50283" xr:uid="{00000000-0005-0000-0000-000024C50000}"/>
    <cellStyle name="SAPBEXresItemX 2 3 2 4 2" xfId="50284" xr:uid="{00000000-0005-0000-0000-000025C50000}"/>
    <cellStyle name="SAPBEXresItemX 2 3 2 4 2 2" xfId="50285" xr:uid="{00000000-0005-0000-0000-000026C50000}"/>
    <cellStyle name="SAPBEXresItemX 2 3 2 4 3" xfId="50286" xr:uid="{00000000-0005-0000-0000-000027C50000}"/>
    <cellStyle name="SAPBEXresItemX 2 3 2 5" xfId="50287" xr:uid="{00000000-0005-0000-0000-000028C50000}"/>
    <cellStyle name="SAPBEXresItemX 2 3 2 5 2" xfId="50288" xr:uid="{00000000-0005-0000-0000-000029C50000}"/>
    <cellStyle name="SAPBEXresItemX 2 3 2 6" xfId="50289" xr:uid="{00000000-0005-0000-0000-00002AC50000}"/>
    <cellStyle name="SAPBEXresItemX 2 3 3" xfId="50290" xr:uid="{00000000-0005-0000-0000-00002BC50000}"/>
    <cellStyle name="SAPBEXresItemX 2 3 3 2" xfId="50291" xr:uid="{00000000-0005-0000-0000-00002CC50000}"/>
    <cellStyle name="SAPBEXresItemX 2 3 3 2 2" xfId="50292" xr:uid="{00000000-0005-0000-0000-00002DC50000}"/>
    <cellStyle name="SAPBEXresItemX 2 3 3 2 2 2" xfId="50293" xr:uid="{00000000-0005-0000-0000-00002EC50000}"/>
    <cellStyle name="SAPBEXresItemX 2 3 3 2 2 2 2" xfId="50294" xr:uid="{00000000-0005-0000-0000-00002FC50000}"/>
    <cellStyle name="SAPBEXresItemX 2 3 3 2 2 3" xfId="50295" xr:uid="{00000000-0005-0000-0000-000030C50000}"/>
    <cellStyle name="SAPBEXresItemX 2 3 3 2 3" xfId="50296" xr:uid="{00000000-0005-0000-0000-000031C50000}"/>
    <cellStyle name="SAPBEXresItemX 2 3 3 2 3 2" xfId="50297" xr:uid="{00000000-0005-0000-0000-000032C50000}"/>
    <cellStyle name="SAPBEXresItemX 2 3 3 2 4" xfId="50298" xr:uid="{00000000-0005-0000-0000-000033C50000}"/>
    <cellStyle name="SAPBEXresItemX 2 3 3 3" xfId="50299" xr:uid="{00000000-0005-0000-0000-000034C50000}"/>
    <cellStyle name="SAPBEXresItemX 2 3 3 3 2" xfId="50300" xr:uid="{00000000-0005-0000-0000-000035C50000}"/>
    <cellStyle name="SAPBEXresItemX 2 3 3 3 2 2" xfId="50301" xr:uid="{00000000-0005-0000-0000-000036C50000}"/>
    <cellStyle name="SAPBEXresItemX 2 3 3 3 3" xfId="50302" xr:uid="{00000000-0005-0000-0000-000037C50000}"/>
    <cellStyle name="SAPBEXresItemX 2 3 3 4" xfId="50303" xr:uid="{00000000-0005-0000-0000-000038C50000}"/>
    <cellStyle name="SAPBEXresItemX 2 3 3 4 2" xfId="50304" xr:uid="{00000000-0005-0000-0000-000039C50000}"/>
    <cellStyle name="SAPBEXresItemX 2 3 3 5" xfId="50305" xr:uid="{00000000-0005-0000-0000-00003AC50000}"/>
    <cellStyle name="SAPBEXresItemX 2 3 4" xfId="50306" xr:uid="{00000000-0005-0000-0000-00003BC50000}"/>
    <cellStyle name="SAPBEXresItemX 2 3 4 2" xfId="50307" xr:uid="{00000000-0005-0000-0000-00003CC50000}"/>
    <cellStyle name="SAPBEXresItemX 2 3 4 2 2" xfId="50308" xr:uid="{00000000-0005-0000-0000-00003DC50000}"/>
    <cellStyle name="SAPBEXresItemX 2 3 4 3" xfId="50309" xr:uid="{00000000-0005-0000-0000-00003EC50000}"/>
    <cellStyle name="SAPBEXresItemX 2 3 5" xfId="50310" xr:uid="{00000000-0005-0000-0000-00003FC50000}"/>
    <cellStyle name="SAPBEXresItemX 2 3 5 2" xfId="50311" xr:uid="{00000000-0005-0000-0000-000040C50000}"/>
    <cellStyle name="SAPBEXresItemX 2 3 5 2 2" xfId="50312" xr:uid="{00000000-0005-0000-0000-000041C50000}"/>
    <cellStyle name="SAPBEXresItemX 2 3 5 3" xfId="50313" xr:uid="{00000000-0005-0000-0000-000042C50000}"/>
    <cellStyle name="SAPBEXresItemX 2 3 6" xfId="50314" xr:uid="{00000000-0005-0000-0000-000043C50000}"/>
    <cellStyle name="SAPBEXresItemX 2 3 6 2" xfId="50315" xr:uid="{00000000-0005-0000-0000-000044C50000}"/>
    <cellStyle name="SAPBEXresItemX 2 3 6 2 2" xfId="50316" xr:uid="{00000000-0005-0000-0000-000045C50000}"/>
    <cellStyle name="SAPBEXresItemX 2 3 6 3" xfId="50317" xr:uid="{00000000-0005-0000-0000-000046C50000}"/>
    <cellStyle name="SAPBEXresItemX 2 3 7" xfId="50318" xr:uid="{00000000-0005-0000-0000-000047C50000}"/>
    <cellStyle name="SAPBEXresItemX 2 3 7 2" xfId="50319" xr:uid="{00000000-0005-0000-0000-000048C50000}"/>
    <cellStyle name="SAPBEXresItemX 2 3 8" xfId="50320" xr:uid="{00000000-0005-0000-0000-000049C50000}"/>
    <cellStyle name="SAPBEXresItemX 2 4" xfId="50321" xr:uid="{00000000-0005-0000-0000-00004AC50000}"/>
    <cellStyle name="SAPBEXresItemX 2 4 2" xfId="50322" xr:uid="{00000000-0005-0000-0000-00004BC50000}"/>
    <cellStyle name="SAPBEXresItemX 2 4 2 2" xfId="50323" xr:uid="{00000000-0005-0000-0000-00004CC50000}"/>
    <cellStyle name="SAPBEXresItemX 2 4 2 2 2" xfId="50324" xr:uid="{00000000-0005-0000-0000-00004DC50000}"/>
    <cellStyle name="SAPBEXresItemX 2 4 2 2 2 2" xfId="50325" xr:uid="{00000000-0005-0000-0000-00004EC50000}"/>
    <cellStyle name="SAPBEXresItemX 2 4 2 2 3" xfId="50326" xr:uid="{00000000-0005-0000-0000-00004FC50000}"/>
    <cellStyle name="SAPBEXresItemX 2 4 2 3" xfId="50327" xr:uid="{00000000-0005-0000-0000-000050C50000}"/>
    <cellStyle name="SAPBEXresItemX 2 4 2 3 2" xfId="50328" xr:uid="{00000000-0005-0000-0000-000051C50000}"/>
    <cellStyle name="SAPBEXresItemX 2 4 2 3 2 2" xfId="50329" xr:uid="{00000000-0005-0000-0000-000052C50000}"/>
    <cellStyle name="SAPBEXresItemX 2 4 2 3 3" xfId="50330" xr:uid="{00000000-0005-0000-0000-000053C50000}"/>
    <cellStyle name="SAPBEXresItemX 2 4 2 4" xfId="50331" xr:uid="{00000000-0005-0000-0000-000054C50000}"/>
    <cellStyle name="SAPBEXresItemX 2 4 2 4 2" xfId="50332" xr:uid="{00000000-0005-0000-0000-000055C50000}"/>
    <cellStyle name="SAPBEXresItemX 2 4 2 5" xfId="50333" xr:uid="{00000000-0005-0000-0000-000056C50000}"/>
    <cellStyle name="SAPBEXresItemX 2 4 3" xfId="50334" xr:uid="{00000000-0005-0000-0000-000057C50000}"/>
    <cellStyle name="SAPBEXresItemX 2 4 3 2" xfId="50335" xr:uid="{00000000-0005-0000-0000-000058C50000}"/>
    <cellStyle name="SAPBEXresItemX 2 4 3 2 2" xfId="50336" xr:uid="{00000000-0005-0000-0000-000059C50000}"/>
    <cellStyle name="SAPBEXresItemX 2 4 3 2 2 2" xfId="50337" xr:uid="{00000000-0005-0000-0000-00005AC50000}"/>
    <cellStyle name="SAPBEXresItemX 2 4 3 2 3" xfId="50338" xr:uid="{00000000-0005-0000-0000-00005BC50000}"/>
    <cellStyle name="SAPBEXresItemX 2 4 3 3" xfId="50339" xr:uid="{00000000-0005-0000-0000-00005CC50000}"/>
    <cellStyle name="SAPBEXresItemX 2 4 3 3 2" xfId="50340" xr:uid="{00000000-0005-0000-0000-00005DC50000}"/>
    <cellStyle name="SAPBEXresItemX 2 4 3 4" xfId="50341" xr:uid="{00000000-0005-0000-0000-00005EC50000}"/>
    <cellStyle name="SAPBEXresItemX 2 4 4" xfId="50342" xr:uid="{00000000-0005-0000-0000-00005FC50000}"/>
    <cellStyle name="SAPBEXresItemX 2 4 4 2" xfId="50343" xr:uid="{00000000-0005-0000-0000-000060C50000}"/>
    <cellStyle name="SAPBEXresItemX 2 4 4 2 2" xfId="50344" xr:uid="{00000000-0005-0000-0000-000061C50000}"/>
    <cellStyle name="SAPBEXresItemX 2 4 4 3" xfId="50345" xr:uid="{00000000-0005-0000-0000-000062C50000}"/>
    <cellStyle name="SAPBEXresItemX 2 4 5" xfId="50346" xr:uid="{00000000-0005-0000-0000-000063C50000}"/>
    <cellStyle name="SAPBEXresItemX 2 4 5 2" xfId="50347" xr:uid="{00000000-0005-0000-0000-000064C50000}"/>
    <cellStyle name="SAPBEXresItemX 2 4 6" xfId="50348" xr:uid="{00000000-0005-0000-0000-000065C50000}"/>
    <cellStyle name="SAPBEXresItemX 2 5" xfId="50349" xr:uid="{00000000-0005-0000-0000-000066C50000}"/>
    <cellStyle name="SAPBEXresItemX 2 5 2" xfId="50350" xr:uid="{00000000-0005-0000-0000-000067C50000}"/>
    <cellStyle name="SAPBEXresItemX 2 5 2 2" xfId="50351" xr:uid="{00000000-0005-0000-0000-000068C50000}"/>
    <cellStyle name="SAPBEXresItemX 2 5 2 2 2" xfId="50352" xr:uid="{00000000-0005-0000-0000-000069C50000}"/>
    <cellStyle name="SAPBEXresItemX 2 5 2 2 2 2" xfId="50353" xr:uid="{00000000-0005-0000-0000-00006AC50000}"/>
    <cellStyle name="SAPBEXresItemX 2 5 2 2 3" xfId="50354" xr:uid="{00000000-0005-0000-0000-00006BC50000}"/>
    <cellStyle name="SAPBEXresItemX 2 5 2 3" xfId="50355" xr:uid="{00000000-0005-0000-0000-00006CC50000}"/>
    <cellStyle name="SAPBEXresItemX 2 5 2 3 2" xfId="50356" xr:uid="{00000000-0005-0000-0000-00006DC50000}"/>
    <cellStyle name="SAPBEXresItemX 2 5 2 4" xfId="50357" xr:uid="{00000000-0005-0000-0000-00006EC50000}"/>
    <cellStyle name="SAPBEXresItemX 2 5 3" xfId="50358" xr:uid="{00000000-0005-0000-0000-00006FC50000}"/>
    <cellStyle name="SAPBEXresItemX 2 5 3 2" xfId="50359" xr:uid="{00000000-0005-0000-0000-000070C50000}"/>
    <cellStyle name="SAPBEXresItemX 2 5 3 2 2" xfId="50360" xr:uid="{00000000-0005-0000-0000-000071C50000}"/>
    <cellStyle name="SAPBEXresItemX 2 5 3 3" xfId="50361" xr:uid="{00000000-0005-0000-0000-000072C50000}"/>
    <cellStyle name="SAPBEXresItemX 2 5 4" xfId="50362" xr:uid="{00000000-0005-0000-0000-000073C50000}"/>
    <cellStyle name="SAPBEXresItemX 2 5 4 2" xfId="50363" xr:uid="{00000000-0005-0000-0000-000074C50000}"/>
    <cellStyle name="SAPBEXresItemX 2 5 5" xfId="50364" xr:uid="{00000000-0005-0000-0000-000075C50000}"/>
    <cellStyle name="SAPBEXresItemX 2 6" xfId="50365" xr:uid="{00000000-0005-0000-0000-000076C50000}"/>
    <cellStyle name="SAPBEXresItemX 2 6 2" xfId="50366" xr:uid="{00000000-0005-0000-0000-000077C50000}"/>
    <cellStyle name="SAPBEXresItemX 2 6 2 2" xfId="50367" xr:uid="{00000000-0005-0000-0000-000078C50000}"/>
    <cellStyle name="SAPBEXresItemX 2 6 3" xfId="50368" xr:uid="{00000000-0005-0000-0000-000079C50000}"/>
    <cellStyle name="SAPBEXresItemX 2 7" xfId="50369" xr:uid="{00000000-0005-0000-0000-00007AC50000}"/>
    <cellStyle name="SAPBEXresItemX 2 7 2" xfId="50370" xr:uid="{00000000-0005-0000-0000-00007BC50000}"/>
    <cellStyle name="SAPBEXresItemX 2 7 2 2" xfId="50371" xr:uid="{00000000-0005-0000-0000-00007CC50000}"/>
    <cellStyle name="SAPBEXresItemX 2 7 3" xfId="50372" xr:uid="{00000000-0005-0000-0000-00007DC50000}"/>
    <cellStyle name="SAPBEXresItemX 2 8" xfId="50373" xr:uid="{00000000-0005-0000-0000-00007EC50000}"/>
    <cellStyle name="SAPBEXresItemX 2 8 2" xfId="50374" xr:uid="{00000000-0005-0000-0000-00007FC50000}"/>
    <cellStyle name="SAPBEXresItemX 2 8 2 2" xfId="50375" xr:uid="{00000000-0005-0000-0000-000080C50000}"/>
    <cellStyle name="SAPBEXresItemX 2 8 3" xfId="50376" xr:uid="{00000000-0005-0000-0000-000081C50000}"/>
    <cellStyle name="SAPBEXresItemX 2 9" xfId="50377" xr:uid="{00000000-0005-0000-0000-000082C50000}"/>
    <cellStyle name="SAPBEXresItemX 2 9 2" xfId="50378" xr:uid="{00000000-0005-0000-0000-000083C50000}"/>
    <cellStyle name="SAPBEXresItemX 3" xfId="50379" xr:uid="{00000000-0005-0000-0000-000084C50000}"/>
    <cellStyle name="SAPBEXresItemX 3 2" xfId="50380" xr:uid="{00000000-0005-0000-0000-000085C50000}"/>
    <cellStyle name="SAPBEXresItemX 3 2 2" xfId="50381" xr:uid="{00000000-0005-0000-0000-000086C50000}"/>
    <cellStyle name="SAPBEXresItemX 3 2 2 2" xfId="50382" xr:uid="{00000000-0005-0000-0000-000087C50000}"/>
    <cellStyle name="SAPBEXresItemX 3 2 2 2 2" xfId="50383" xr:uid="{00000000-0005-0000-0000-000088C50000}"/>
    <cellStyle name="SAPBEXresItemX 3 2 2 2 2 2" xfId="50384" xr:uid="{00000000-0005-0000-0000-000089C50000}"/>
    <cellStyle name="SAPBEXresItemX 3 2 2 2 3" xfId="50385" xr:uid="{00000000-0005-0000-0000-00008AC50000}"/>
    <cellStyle name="SAPBEXresItemX 3 2 2 3" xfId="50386" xr:uid="{00000000-0005-0000-0000-00008BC50000}"/>
    <cellStyle name="SAPBEXresItemX 3 2 2 3 2" xfId="50387" xr:uid="{00000000-0005-0000-0000-00008CC50000}"/>
    <cellStyle name="SAPBEXresItemX 3 2 2 4" xfId="50388" xr:uid="{00000000-0005-0000-0000-00008DC50000}"/>
    <cellStyle name="SAPBEXresItemX 3 2 3" xfId="50389" xr:uid="{00000000-0005-0000-0000-00008EC50000}"/>
    <cellStyle name="SAPBEXresItemX 3 2 3 2" xfId="50390" xr:uid="{00000000-0005-0000-0000-00008FC50000}"/>
    <cellStyle name="SAPBEXresItemX 3 2 3 2 2" xfId="50391" xr:uid="{00000000-0005-0000-0000-000090C50000}"/>
    <cellStyle name="SAPBEXresItemX 3 2 3 3" xfId="50392" xr:uid="{00000000-0005-0000-0000-000091C50000}"/>
    <cellStyle name="SAPBEXresItemX 3 2 4" xfId="50393" xr:uid="{00000000-0005-0000-0000-000092C50000}"/>
    <cellStyle name="SAPBEXresItemX 3 2 4 2" xfId="50394" xr:uid="{00000000-0005-0000-0000-000093C50000}"/>
    <cellStyle name="SAPBEXresItemX 3 2 4 2 2" xfId="50395" xr:uid="{00000000-0005-0000-0000-000094C50000}"/>
    <cellStyle name="SAPBEXresItemX 3 2 4 3" xfId="50396" xr:uid="{00000000-0005-0000-0000-000095C50000}"/>
    <cellStyle name="SAPBEXresItemX 3 2 5" xfId="50397" xr:uid="{00000000-0005-0000-0000-000096C50000}"/>
    <cellStyle name="SAPBEXresItemX 3 2 5 2" xfId="50398" xr:uid="{00000000-0005-0000-0000-000097C50000}"/>
    <cellStyle name="SAPBEXresItemX 3 2 5 2 2" xfId="50399" xr:uid="{00000000-0005-0000-0000-000098C50000}"/>
    <cellStyle name="SAPBEXresItemX 3 2 5 3" xfId="50400" xr:uid="{00000000-0005-0000-0000-000099C50000}"/>
    <cellStyle name="SAPBEXresItemX 3 2 6" xfId="50401" xr:uid="{00000000-0005-0000-0000-00009AC50000}"/>
    <cellStyle name="SAPBEXresItemX 3 2 6 2" xfId="50402" xr:uid="{00000000-0005-0000-0000-00009BC50000}"/>
    <cellStyle name="SAPBEXresItemX 3 2 7" xfId="50403" xr:uid="{00000000-0005-0000-0000-00009CC50000}"/>
    <cellStyle name="SAPBEXresItemX 3 3" xfId="50404" xr:uid="{00000000-0005-0000-0000-00009DC50000}"/>
    <cellStyle name="SAPBEXresItemX 3 3 2" xfId="50405" xr:uid="{00000000-0005-0000-0000-00009EC50000}"/>
    <cellStyle name="SAPBEXresItemX 3 3 2 2" xfId="50406" xr:uid="{00000000-0005-0000-0000-00009FC50000}"/>
    <cellStyle name="SAPBEXresItemX 3 3 2 2 2" xfId="50407" xr:uid="{00000000-0005-0000-0000-0000A0C50000}"/>
    <cellStyle name="SAPBEXresItemX 3 3 2 2 2 2" xfId="50408" xr:uid="{00000000-0005-0000-0000-0000A1C50000}"/>
    <cellStyle name="SAPBEXresItemX 3 3 2 2 3" xfId="50409" xr:uid="{00000000-0005-0000-0000-0000A2C50000}"/>
    <cellStyle name="SAPBEXresItemX 3 3 2 3" xfId="50410" xr:uid="{00000000-0005-0000-0000-0000A3C50000}"/>
    <cellStyle name="SAPBEXresItemX 3 3 2 3 2" xfId="50411" xr:uid="{00000000-0005-0000-0000-0000A4C50000}"/>
    <cellStyle name="SAPBEXresItemX 3 3 2 4" xfId="50412" xr:uid="{00000000-0005-0000-0000-0000A5C50000}"/>
    <cellStyle name="SAPBEXresItemX 3 3 3" xfId="50413" xr:uid="{00000000-0005-0000-0000-0000A6C50000}"/>
    <cellStyle name="SAPBEXresItemX 3 3 3 2" xfId="50414" xr:uid="{00000000-0005-0000-0000-0000A7C50000}"/>
    <cellStyle name="SAPBEXresItemX 3 3 3 2 2" xfId="50415" xr:uid="{00000000-0005-0000-0000-0000A8C50000}"/>
    <cellStyle name="SAPBEXresItemX 3 3 3 3" xfId="50416" xr:uid="{00000000-0005-0000-0000-0000A9C50000}"/>
    <cellStyle name="SAPBEXresItemX 3 3 4" xfId="50417" xr:uid="{00000000-0005-0000-0000-0000AAC50000}"/>
    <cellStyle name="SAPBEXresItemX 3 3 4 2" xfId="50418" xr:uid="{00000000-0005-0000-0000-0000ABC50000}"/>
    <cellStyle name="SAPBEXresItemX 3 3 5" xfId="50419" xr:uid="{00000000-0005-0000-0000-0000ACC50000}"/>
    <cellStyle name="SAPBEXresItemX 3 4" xfId="50420" xr:uid="{00000000-0005-0000-0000-0000ADC50000}"/>
    <cellStyle name="SAPBEXresItemX 3 4 2" xfId="50421" xr:uid="{00000000-0005-0000-0000-0000AEC50000}"/>
    <cellStyle name="SAPBEXresItemX 3 4 2 2" xfId="50422" xr:uid="{00000000-0005-0000-0000-0000AFC50000}"/>
    <cellStyle name="SAPBEXresItemX 3 4 3" xfId="50423" xr:uid="{00000000-0005-0000-0000-0000B0C50000}"/>
    <cellStyle name="SAPBEXresItemX 3 5" xfId="50424" xr:uid="{00000000-0005-0000-0000-0000B1C50000}"/>
    <cellStyle name="SAPBEXresItemX 3 5 2" xfId="50425" xr:uid="{00000000-0005-0000-0000-0000B2C50000}"/>
    <cellStyle name="SAPBEXresItemX 3 5 2 2" xfId="50426" xr:uid="{00000000-0005-0000-0000-0000B3C50000}"/>
    <cellStyle name="SAPBEXresItemX 3 5 3" xfId="50427" xr:uid="{00000000-0005-0000-0000-0000B4C50000}"/>
    <cellStyle name="SAPBEXresItemX 3 6" xfId="50428" xr:uid="{00000000-0005-0000-0000-0000B5C50000}"/>
    <cellStyle name="SAPBEXresItemX 3 6 2" xfId="50429" xr:uid="{00000000-0005-0000-0000-0000B6C50000}"/>
    <cellStyle name="SAPBEXresItemX 3 6 2 2" xfId="50430" xr:uid="{00000000-0005-0000-0000-0000B7C50000}"/>
    <cellStyle name="SAPBEXresItemX 3 6 3" xfId="50431" xr:uid="{00000000-0005-0000-0000-0000B8C50000}"/>
    <cellStyle name="SAPBEXresItemX 3 7" xfId="50432" xr:uid="{00000000-0005-0000-0000-0000B9C50000}"/>
    <cellStyle name="SAPBEXresItemX 3 7 2" xfId="50433" xr:uid="{00000000-0005-0000-0000-0000BAC50000}"/>
    <cellStyle name="SAPBEXresItemX 3 8" xfId="50434" xr:uid="{00000000-0005-0000-0000-0000BBC50000}"/>
    <cellStyle name="SAPBEXresItemX 4" xfId="50435" xr:uid="{00000000-0005-0000-0000-0000BCC50000}"/>
    <cellStyle name="SAPBEXresItemX 4 2" xfId="50436" xr:uid="{00000000-0005-0000-0000-0000BDC50000}"/>
    <cellStyle name="SAPBEXresItemX 4 2 2" xfId="50437" xr:uid="{00000000-0005-0000-0000-0000BEC50000}"/>
    <cellStyle name="SAPBEXresItemX 4 2 2 2" xfId="50438" xr:uid="{00000000-0005-0000-0000-0000BFC50000}"/>
    <cellStyle name="SAPBEXresItemX 4 2 2 2 2" xfId="50439" xr:uid="{00000000-0005-0000-0000-0000C0C50000}"/>
    <cellStyle name="SAPBEXresItemX 4 2 2 2 2 2" xfId="50440" xr:uid="{00000000-0005-0000-0000-0000C1C50000}"/>
    <cellStyle name="SAPBEXresItemX 4 2 2 2 3" xfId="50441" xr:uid="{00000000-0005-0000-0000-0000C2C50000}"/>
    <cellStyle name="SAPBEXresItemX 4 2 2 3" xfId="50442" xr:uid="{00000000-0005-0000-0000-0000C3C50000}"/>
    <cellStyle name="SAPBEXresItemX 4 2 2 3 2" xfId="50443" xr:uid="{00000000-0005-0000-0000-0000C4C50000}"/>
    <cellStyle name="SAPBEXresItemX 4 2 2 4" xfId="50444" xr:uid="{00000000-0005-0000-0000-0000C5C50000}"/>
    <cellStyle name="SAPBEXresItemX 4 2 3" xfId="50445" xr:uid="{00000000-0005-0000-0000-0000C6C50000}"/>
    <cellStyle name="SAPBEXresItemX 4 2 3 2" xfId="50446" xr:uid="{00000000-0005-0000-0000-0000C7C50000}"/>
    <cellStyle name="SAPBEXresItemX 4 2 3 2 2" xfId="50447" xr:uid="{00000000-0005-0000-0000-0000C8C50000}"/>
    <cellStyle name="SAPBEXresItemX 4 2 3 3" xfId="50448" xr:uid="{00000000-0005-0000-0000-0000C9C50000}"/>
    <cellStyle name="SAPBEXresItemX 4 2 4" xfId="50449" xr:uid="{00000000-0005-0000-0000-0000CAC50000}"/>
    <cellStyle name="SAPBEXresItemX 4 2 4 2" xfId="50450" xr:uid="{00000000-0005-0000-0000-0000CBC50000}"/>
    <cellStyle name="SAPBEXresItemX 4 2 4 2 2" xfId="50451" xr:uid="{00000000-0005-0000-0000-0000CCC50000}"/>
    <cellStyle name="SAPBEXresItemX 4 2 4 3" xfId="50452" xr:uid="{00000000-0005-0000-0000-0000CDC50000}"/>
    <cellStyle name="SAPBEXresItemX 4 2 5" xfId="50453" xr:uid="{00000000-0005-0000-0000-0000CEC50000}"/>
    <cellStyle name="SAPBEXresItemX 4 2 5 2" xfId="50454" xr:uid="{00000000-0005-0000-0000-0000CFC50000}"/>
    <cellStyle name="SAPBEXresItemX 4 2 5 2 2" xfId="50455" xr:uid="{00000000-0005-0000-0000-0000D0C50000}"/>
    <cellStyle name="SAPBEXresItemX 4 2 5 3" xfId="50456" xr:uid="{00000000-0005-0000-0000-0000D1C50000}"/>
    <cellStyle name="SAPBEXresItemX 4 2 6" xfId="50457" xr:uid="{00000000-0005-0000-0000-0000D2C50000}"/>
    <cellStyle name="SAPBEXresItemX 4 2 6 2" xfId="50458" xr:uid="{00000000-0005-0000-0000-0000D3C50000}"/>
    <cellStyle name="SAPBEXresItemX 4 2 7" xfId="50459" xr:uid="{00000000-0005-0000-0000-0000D4C50000}"/>
    <cellStyle name="SAPBEXresItemX 4 3" xfId="50460" xr:uid="{00000000-0005-0000-0000-0000D5C50000}"/>
    <cellStyle name="SAPBEXresItemX 4 3 2" xfId="50461" xr:uid="{00000000-0005-0000-0000-0000D6C50000}"/>
    <cellStyle name="SAPBEXresItemX 4 3 2 2" xfId="50462" xr:uid="{00000000-0005-0000-0000-0000D7C50000}"/>
    <cellStyle name="SAPBEXresItemX 4 3 2 2 2" xfId="50463" xr:uid="{00000000-0005-0000-0000-0000D8C50000}"/>
    <cellStyle name="SAPBEXresItemX 4 3 2 2 2 2" xfId="50464" xr:uid="{00000000-0005-0000-0000-0000D9C50000}"/>
    <cellStyle name="SAPBEXresItemX 4 3 2 2 2 2 2" xfId="50465" xr:uid="{00000000-0005-0000-0000-0000DAC50000}"/>
    <cellStyle name="SAPBEXresItemX 4 3 2 2 2 3" xfId="50466" xr:uid="{00000000-0005-0000-0000-0000DBC50000}"/>
    <cellStyle name="SAPBEXresItemX 4 3 2 2 3" xfId="50467" xr:uid="{00000000-0005-0000-0000-0000DCC50000}"/>
    <cellStyle name="SAPBEXresItemX 4 3 2 2 3 2" xfId="50468" xr:uid="{00000000-0005-0000-0000-0000DDC50000}"/>
    <cellStyle name="SAPBEXresItemX 4 3 2 2 4" xfId="50469" xr:uid="{00000000-0005-0000-0000-0000DEC50000}"/>
    <cellStyle name="SAPBEXresItemX 4 3 2 3" xfId="50470" xr:uid="{00000000-0005-0000-0000-0000DFC50000}"/>
    <cellStyle name="SAPBEXresItemX 4 3 2 3 2" xfId="50471" xr:uid="{00000000-0005-0000-0000-0000E0C50000}"/>
    <cellStyle name="SAPBEXresItemX 4 3 2 3 2 2" xfId="50472" xr:uid="{00000000-0005-0000-0000-0000E1C50000}"/>
    <cellStyle name="SAPBEXresItemX 4 3 2 3 3" xfId="50473" xr:uid="{00000000-0005-0000-0000-0000E2C50000}"/>
    <cellStyle name="SAPBEXresItemX 4 3 2 4" xfId="50474" xr:uid="{00000000-0005-0000-0000-0000E3C50000}"/>
    <cellStyle name="SAPBEXresItemX 4 3 2 4 2" xfId="50475" xr:uid="{00000000-0005-0000-0000-0000E4C50000}"/>
    <cellStyle name="SAPBEXresItemX 4 3 2 4 2 2" xfId="50476" xr:uid="{00000000-0005-0000-0000-0000E5C50000}"/>
    <cellStyle name="SAPBEXresItemX 4 3 2 4 3" xfId="50477" xr:uid="{00000000-0005-0000-0000-0000E6C50000}"/>
    <cellStyle name="SAPBEXresItemX 4 3 2 5" xfId="50478" xr:uid="{00000000-0005-0000-0000-0000E7C50000}"/>
    <cellStyle name="SAPBEXresItemX 4 3 2 5 2" xfId="50479" xr:uid="{00000000-0005-0000-0000-0000E8C50000}"/>
    <cellStyle name="SAPBEXresItemX 4 3 2 6" xfId="50480" xr:uid="{00000000-0005-0000-0000-0000E9C50000}"/>
    <cellStyle name="SAPBEXresItemX 4 3 3" xfId="50481" xr:uid="{00000000-0005-0000-0000-0000EAC50000}"/>
    <cellStyle name="SAPBEXresItemX 4 3 3 2" xfId="50482" xr:uid="{00000000-0005-0000-0000-0000EBC50000}"/>
    <cellStyle name="SAPBEXresItemX 4 3 3 2 2" xfId="50483" xr:uid="{00000000-0005-0000-0000-0000ECC50000}"/>
    <cellStyle name="SAPBEXresItemX 4 3 3 2 2 2" xfId="50484" xr:uid="{00000000-0005-0000-0000-0000EDC50000}"/>
    <cellStyle name="SAPBEXresItemX 4 3 3 2 2 2 2" xfId="50485" xr:uid="{00000000-0005-0000-0000-0000EEC50000}"/>
    <cellStyle name="SAPBEXresItemX 4 3 3 2 2 3" xfId="50486" xr:uid="{00000000-0005-0000-0000-0000EFC50000}"/>
    <cellStyle name="SAPBEXresItemX 4 3 3 2 3" xfId="50487" xr:uid="{00000000-0005-0000-0000-0000F0C50000}"/>
    <cellStyle name="SAPBEXresItemX 4 3 3 2 3 2" xfId="50488" xr:uid="{00000000-0005-0000-0000-0000F1C50000}"/>
    <cellStyle name="SAPBEXresItemX 4 3 3 2 4" xfId="50489" xr:uid="{00000000-0005-0000-0000-0000F2C50000}"/>
    <cellStyle name="SAPBEXresItemX 4 3 3 3" xfId="50490" xr:uid="{00000000-0005-0000-0000-0000F3C50000}"/>
    <cellStyle name="SAPBEXresItemX 4 3 3 3 2" xfId="50491" xr:uid="{00000000-0005-0000-0000-0000F4C50000}"/>
    <cellStyle name="SAPBEXresItemX 4 3 3 3 2 2" xfId="50492" xr:uid="{00000000-0005-0000-0000-0000F5C50000}"/>
    <cellStyle name="SAPBEXresItemX 4 3 3 3 3" xfId="50493" xr:uid="{00000000-0005-0000-0000-0000F6C50000}"/>
    <cellStyle name="SAPBEXresItemX 4 3 3 4" xfId="50494" xr:uid="{00000000-0005-0000-0000-0000F7C50000}"/>
    <cellStyle name="SAPBEXresItemX 4 3 3 4 2" xfId="50495" xr:uid="{00000000-0005-0000-0000-0000F8C50000}"/>
    <cellStyle name="SAPBEXresItemX 4 3 3 5" xfId="50496" xr:uid="{00000000-0005-0000-0000-0000F9C50000}"/>
    <cellStyle name="SAPBEXresItemX 4 3 4" xfId="50497" xr:uid="{00000000-0005-0000-0000-0000FAC50000}"/>
    <cellStyle name="SAPBEXresItemX 4 3 4 2" xfId="50498" xr:uid="{00000000-0005-0000-0000-0000FBC50000}"/>
    <cellStyle name="SAPBEXresItemX 4 3 4 2 2" xfId="50499" xr:uid="{00000000-0005-0000-0000-0000FCC50000}"/>
    <cellStyle name="SAPBEXresItemX 4 3 4 3" xfId="50500" xr:uid="{00000000-0005-0000-0000-0000FDC50000}"/>
    <cellStyle name="SAPBEXresItemX 4 3 5" xfId="50501" xr:uid="{00000000-0005-0000-0000-0000FEC50000}"/>
    <cellStyle name="SAPBEXresItemX 4 3 5 2" xfId="50502" xr:uid="{00000000-0005-0000-0000-0000FFC50000}"/>
    <cellStyle name="SAPBEXresItemX 4 3 5 2 2" xfId="50503" xr:uid="{00000000-0005-0000-0000-000000C60000}"/>
    <cellStyle name="SAPBEXresItemX 4 3 5 3" xfId="50504" xr:uid="{00000000-0005-0000-0000-000001C60000}"/>
    <cellStyle name="SAPBEXresItemX 4 3 6" xfId="50505" xr:uid="{00000000-0005-0000-0000-000002C60000}"/>
    <cellStyle name="SAPBEXresItemX 4 3 6 2" xfId="50506" xr:uid="{00000000-0005-0000-0000-000003C60000}"/>
    <cellStyle name="SAPBEXresItemX 4 3 6 2 2" xfId="50507" xr:uid="{00000000-0005-0000-0000-000004C60000}"/>
    <cellStyle name="SAPBEXresItemX 4 3 6 3" xfId="50508" xr:uid="{00000000-0005-0000-0000-000005C60000}"/>
    <cellStyle name="SAPBEXresItemX 4 3 7" xfId="50509" xr:uid="{00000000-0005-0000-0000-000006C60000}"/>
    <cellStyle name="SAPBEXresItemX 4 3 7 2" xfId="50510" xr:uid="{00000000-0005-0000-0000-000007C60000}"/>
    <cellStyle name="SAPBEXresItemX 4 3 8" xfId="50511" xr:uid="{00000000-0005-0000-0000-000008C60000}"/>
    <cellStyle name="SAPBEXresItemX 4 4" xfId="50512" xr:uid="{00000000-0005-0000-0000-000009C60000}"/>
    <cellStyle name="SAPBEXresItemX 4 4 2" xfId="50513" xr:uid="{00000000-0005-0000-0000-00000AC60000}"/>
    <cellStyle name="SAPBEXresItemX 4 4 2 2" xfId="50514" xr:uid="{00000000-0005-0000-0000-00000BC60000}"/>
    <cellStyle name="SAPBEXresItemX 4 4 2 2 2" xfId="50515" xr:uid="{00000000-0005-0000-0000-00000CC60000}"/>
    <cellStyle name="SAPBEXresItemX 4 4 2 2 2 2" xfId="50516" xr:uid="{00000000-0005-0000-0000-00000DC60000}"/>
    <cellStyle name="SAPBEXresItemX 4 4 2 2 3" xfId="50517" xr:uid="{00000000-0005-0000-0000-00000EC60000}"/>
    <cellStyle name="SAPBEXresItemX 4 4 2 3" xfId="50518" xr:uid="{00000000-0005-0000-0000-00000FC60000}"/>
    <cellStyle name="SAPBEXresItemX 4 4 2 3 2" xfId="50519" xr:uid="{00000000-0005-0000-0000-000010C60000}"/>
    <cellStyle name="SAPBEXresItemX 4 4 2 4" xfId="50520" xr:uid="{00000000-0005-0000-0000-000011C60000}"/>
    <cellStyle name="SAPBEXresItemX 4 4 3" xfId="50521" xr:uid="{00000000-0005-0000-0000-000012C60000}"/>
    <cellStyle name="SAPBEXresItemX 4 4 3 2" xfId="50522" xr:uid="{00000000-0005-0000-0000-000013C60000}"/>
    <cellStyle name="SAPBEXresItemX 4 4 3 2 2" xfId="50523" xr:uid="{00000000-0005-0000-0000-000014C60000}"/>
    <cellStyle name="SAPBEXresItemX 4 4 3 3" xfId="50524" xr:uid="{00000000-0005-0000-0000-000015C60000}"/>
    <cellStyle name="SAPBEXresItemX 4 4 4" xfId="50525" xr:uid="{00000000-0005-0000-0000-000016C60000}"/>
    <cellStyle name="SAPBEXresItemX 4 4 4 2" xfId="50526" xr:uid="{00000000-0005-0000-0000-000017C60000}"/>
    <cellStyle name="SAPBEXresItemX 4 4 5" xfId="50527" xr:uid="{00000000-0005-0000-0000-000018C60000}"/>
    <cellStyle name="SAPBEXresItemX 4 5" xfId="50528" xr:uid="{00000000-0005-0000-0000-000019C60000}"/>
    <cellStyle name="SAPBEXresItemX 4 5 2" xfId="50529" xr:uid="{00000000-0005-0000-0000-00001AC60000}"/>
    <cellStyle name="SAPBEXresItemX 4 5 2 2" xfId="50530" xr:uid="{00000000-0005-0000-0000-00001BC60000}"/>
    <cellStyle name="SAPBEXresItemX 4 5 3" xfId="50531" xr:uid="{00000000-0005-0000-0000-00001CC60000}"/>
    <cellStyle name="SAPBEXresItemX 4 6" xfId="50532" xr:uid="{00000000-0005-0000-0000-00001DC60000}"/>
    <cellStyle name="SAPBEXresItemX 4 6 2" xfId="50533" xr:uid="{00000000-0005-0000-0000-00001EC60000}"/>
    <cellStyle name="SAPBEXresItemX 4 6 2 2" xfId="50534" xr:uid="{00000000-0005-0000-0000-00001FC60000}"/>
    <cellStyle name="SAPBEXresItemX 4 6 3" xfId="50535" xr:uid="{00000000-0005-0000-0000-000020C60000}"/>
    <cellStyle name="SAPBEXresItemX 4 7" xfId="50536" xr:uid="{00000000-0005-0000-0000-000021C60000}"/>
    <cellStyle name="SAPBEXresItemX 4 7 2" xfId="50537" xr:uid="{00000000-0005-0000-0000-000022C60000}"/>
    <cellStyle name="SAPBEXresItemX 4 7 2 2" xfId="50538" xr:uid="{00000000-0005-0000-0000-000023C60000}"/>
    <cellStyle name="SAPBEXresItemX 4 7 3" xfId="50539" xr:uid="{00000000-0005-0000-0000-000024C60000}"/>
    <cellStyle name="SAPBEXresItemX 4 8" xfId="50540" xr:uid="{00000000-0005-0000-0000-000025C60000}"/>
    <cellStyle name="SAPBEXresItemX 4 8 2" xfId="50541" xr:uid="{00000000-0005-0000-0000-000026C60000}"/>
    <cellStyle name="SAPBEXresItemX 4 9" xfId="50542" xr:uid="{00000000-0005-0000-0000-000027C60000}"/>
    <cellStyle name="SAPBEXresItemX 5" xfId="50543" xr:uid="{00000000-0005-0000-0000-000028C60000}"/>
    <cellStyle name="SAPBEXresItemX 5 2" xfId="50544" xr:uid="{00000000-0005-0000-0000-000029C60000}"/>
    <cellStyle name="SAPBEXresItemX 5 2 2" xfId="50545" xr:uid="{00000000-0005-0000-0000-00002AC60000}"/>
    <cellStyle name="SAPBEXresItemX 5 2 2 2" xfId="50546" xr:uid="{00000000-0005-0000-0000-00002BC60000}"/>
    <cellStyle name="SAPBEXresItemX 5 2 2 2 2" xfId="50547" xr:uid="{00000000-0005-0000-0000-00002CC60000}"/>
    <cellStyle name="SAPBEXresItemX 5 2 2 3" xfId="50548" xr:uid="{00000000-0005-0000-0000-00002DC60000}"/>
    <cellStyle name="SAPBEXresItemX 5 2 3" xfId="50549" xr:uid="{00000000-0005-0000-0000-00002EC60000}"/>
    <cellStyle name="SAPBEXresItemX 5 2 3 2" xfId="50550" xr:uid="{00000000-0005-0000-0000-00002FC60000}"/>
    <cellStyle name="SAPBEXresItemX 5 2 4" xfId="50551" xr:uid="{00000000-0005-0000-0000-000030C60000}"/>
    <cellStyle name="SAPBEXresItemX 5 3" xfId="50552" xr:uid="{00000000-0005-0000-0000-000031C60000}"/>
    <cellStyle name="SAPBEXresItemX 5 3 2" xfId="50553" xr:uid="{00000000-0005-0000-0000-000032C60000}"/>
    <cellStyle name="SAPBEXresItemX 5 3 2 2" xfId="50554" xr:uid="{00000000-0005-0000-0000-000033C60000}"/>
    <cellStyle name="SAPBEXresItemX 5 3 3" xfId="50555" xr:uid="{00000000-0005-0000-0000-000034C60000}"/>
    <cellStyle name="SAPBEXresItemX 5 4" xfId="50556" xr:uid="{00000000-0005-0000-0000-000035C60000}"/>
    <cellStyle name="SAPBEXresItemX 5 4 2" xfId="50557" xr:uid="{00000000-0005-0000-0000-000036C60000}"/>
    <cellStyle name="SAPBEXresItemX 5 4 2 2" xfId="50558" xr:uid="{00000000-0005-0000-0000-000037C60000}"/>
    <cellStyle name="SAPBEXresItemX 5 4 3" xfId="50559" xr:uid="{00000000-0005-0000-0000-000038C60000}"/>
    <cellStyle name="SAPBEXresItemX 5 5" xfId="50560" xr:uid="{00000000-0005-0000-0000-000039C60000}"/>
    <cellStyle name="SAPBEXresItemX 5 5 2" xfId="50561" xr:uid="{00000000-0005-0000-0000-00003AC60000}"/>
    <cellStyle name="SAPBEXresItemX 5 5 2 2" xfId="50562" xr:uid="{00000000-0005-0000-0000-00003BC60000}"/>
    <cellStyle name="SAPBEXresItemX 5 5 3" xfId="50563" xr:uid="{00000000-0005-0000-0000-00003CC60000}"/>
    <cellStyle name="SAPBEXresItemX 5 6" xfId="50564" xr:uid="{00000000-0005-0000-0000-00003DC60000}"/>
    <cellStyle name="SAPBEXresItemX 5 6 2" xfId="50565" xr:uid="{00000000-0005-0000-0000-00003EC60000}"/>
    <cellStyle name="SAPBEXresItemX 5 7" xfId="50566" xr:uid="{00000000-0005-0000-0000-00003FC60000}"/>
    <cellStyle name="SAPBEXresItemX 6" xfId="50567" xr:uid="{00000000-0005-0000-0000-000040C60000}"/>
    <cellStyle name="SAPBEXresItemX 6 2" xfId="50568" xr:uid="{00000000-0005-0000-0000-000041C60000}"/>
    <cellStyle name="SAPBEXresItemX 6 2 2" xfId="50569" xr:uid="{00000000-0005-0000-0000-000042C60000}"/>
    <cellStyle name="SAPBEXresItemX 6 3" xfId="50570" xr:uid="{00000000-0005-0000-0000-000043C60000}"/>
    <cellStyle name="SAPBEXresItemX 6 3 2" xfId="50571" xr:uid="{00000000-0005-0000-0000-000044C60000}"/>
    <cellStyle name="SAPBEXresItemX 6 3 2 2" xfId="50572" xr:uid="{00000000-0005-0000-0000-000045C60000}"/>
    <cellStyle name="SAPBEXresItemX 6 3 3" xfId="50573" xr:uid="{00000000-0005-0000-0000-000046C60000}"/>
    <cellStyle name="SAPBEXresItemX 6 4" xfId="50574" xr:uid="{00000000-0005-0000-0000-000047C60000}"/>
    <cellStyle name="SAPBEXresItemX 6 4 2" xfId="50575" xr:uid="{00000000-0005-0000-0000-000048C60000}"/>
    <cellStyle name="SAPBEXresItemX 6 4 2 2" xfId="50576" xr:uid="{00000000-0005-0000-0000-000049C60000}"/>
    <cellStyle name="SAPBEXresItemX 6 4 3" xfId="50577" xr:uid="{00000000-0005-0000-0000-00004AC60000}"/>
    <cellStyle name="SAPBEXresItemX 6 5" xfId="50578" xr:uid="{00000000-0005-0000-0000-00004BC60000}"/>
    <cellStyle name="SAPBEXresItemX 7" xfId="50579" xr:uid="{00000000-0005-0000-0000-00004CC60000}"/>
    <cellStyle name="SAPBEXresItemX 7 2" xfId="50580" xr:uid="{00000000-0005-0000-0000-00004DC60000}"/>
    <cellStyle name="SAPBEXresItemX 7 2 2" xfId="50581" xr:uid="{00000000-0005-0000-0000-00004EC60000}"/>
    <cellStyle name="SAPBEXresItemX 7 2 2 2" xfId="50582" xr:uid="{00000000-0005-0000-0000-00004FC60000}"/>
    <cellStyle name="SAPBEXresItemX 7 2 3" xfId="50583" xr:uid="{00000000-0005-0000-0000-000050C60000}"/>
    <cellStyle name="SAPBEXresItemX 7 2 3 2" xfId="50584" xr:uid="{00000000-0005-0000-0000-000051C60000}"/>
    <cellStyle name="SAPBEXresItemX 7 2 3 2 2" xfId="50585" xr:uid="{00000000-0005-0000-0000-000052C60000}"/>
    <cellStyle name="SAPBEXresItemX 7 2 3 3" xfId="50586" xr:uid="{00000000-0005-0000-0000-000053C60000}"/>
    <cellStyle name="SAPBEXresItemX 7 2 4" xfId="50587" xr:uid="{00000000-0005-0000-0000-000054C60000}"/>
    <cellStyle name="SAPBEXresItemX 7 3" xfId="50588" xr:uid="{00000000-0005-0000-0000-000055C60000}"/>
    <cellStyle name="SAPBEXresItemX 7 3 2" xfId="50589" xr:uid="{00000000-0005-0000-0000-000056C60000}"/>
    <cellStyle name="SAPBEXresItemX 7 3 2 2" xfId="50590" xr:uid="{00000000-0005-0000-0000-000057C60000}"/>
    <cellStyle name="SAPBEXresItemX 7 3 3" xfId="50591" xr:uid="{00000000-0005-0000-0000-000058C60000}"/>
    <cellStyle name="SAPBEXresItemX 7 4" xfId="50592" xr:uid="{00000000-0005-0000-0000-000059C60000}"/>
    <cellStyle name="SAPBEXresItemX 7 4 2" xfId="50593" xr:uid="{00000000-0005-0000-0000-00005AC60000}"/>
    <cellStyle name="SAPBEXresItemX 7 4 2 2" xfId="50594" xr:uid="{00000000-0005-0000-0000-00005BC60000}"/>
    <cellStyle name="SAPBEXresItemX 7 4 3" xfId="50595" xr:uid="{00000000-0005-0000-0000-00005CC60000}"/>
    <cellStyle name="SAPBEXresItemX 7 5" xfId="50596" xr:uid="{00000000-0005-0000-0000-00005DC60000}"/>
    <cellStyle name="SAPBEXresItemX 7 5 2" xfId="50597" xr:uid="{00000000-0005-0000-0000-00005EC60000}"/>
    <cellStyle name="SAPBEXresItemX 7 5 2 2" xfId="50598" xr:uid="{00000000-0005-0000-0000-00005FC60000}"/>
    <cellStyle name="SAPBEXresItemX 7 5 3" xfId="50599" xr:uid="{00000000-0005-0000-0000-000060C60000}"/>
    <cellStyle name="SAPBEXresItemX 7 6" xfId="50600" xr:uid="{00000000-0005-0000-0000-000061C60000}"/>
    <cellStyle name="SAPBEXresItemX 8" xfId="50601" xr:uid="{00000000-0005-0000-0000-000062C60000}"/>
    <cellStyle name="SAPBEXresItemX 8 2" xfId="50602" xr:uid="{00000000-0005-0000-0000-000063C60000}"/>
    <cellStyle name="SAPBEXresItemX 8 2 2" xfId="50603" xr:uid="{00000000-0005-0000-0000-000064C60000}"/>
    <cellStyle name="SAPBEXresItemX 8 3" xfId="50604" xr:uid="{00000000-0005-0000-0000-000065C60000}"/>
    <cellStyle name="SAPBEXresItemX 9" xfId="50605" xr:uid="{00000000-0005-0000-0000-000066C60000}"/>
    <cellStyle name="SAPBEXresItemX 9 2" xfId="50606" xr:uid="{00000000-0005-0000-0000-000067C60000}"/>
    <cellStyle name="SAPBEXresItemX 9 2 2" xfId="50607" xr:uid="{00000000-0005-0000-0000-000068C60000}"/>
    <cellStyle name="SAPBEXresItemX 9 3" xfId="50608" xr:uid="{00000000-0005-0000-0000-000069C60000}"/>
    <cellStyle name="SAPBEXstdData" xfId="73" xr:uid="{00000000-0005-0000-0000-00006AC60000}"/>
    <cellStyle name="SAPBEXstdData 2" xfId="50609" xr:uid="{00000000-0005-0000-0000-00006BC60000}"/>
    <cellStyle name="SAPBEXstdData 2 2" xfId="50610" xr:uid="{00000000-0005-0000-0000-00006CC60000}"/>
    <cellStyle name="SAPBEXstdData 2 2 2" xfId="50611" xr:uid="{00000000-0005-0000-0000-00006DC60000}"/>
    <cellStyle name="SAPBEXstdData 2 2 2 2" xfId="50612" xr:uid="{00000000-0005-0000-0000-00006EC60000}"/>
    <cellStyle name="SAPBEXstdData 2 2 3" xfId="50613" xr:uid="{00000000-0005-0000-0000-00006FC60000}"/>
    <cellStyle name="SAPBEXstdData 2 3" xfId="50614" xr:uid="{00000000-0005-0000-0000-000070C60000}"/>
    <cellStyle name="SAPBEXstdData 2 3 2" xfId="50615" xr:uid="{00000000-0005-0000-0000-000071C60000}"/>
    <cellStyle name="SAPBEXstdData 2 3 2 2" xfId="50616" xr:uid="{00000000-0005-0000-0000-000072C60000}"/>
    <cellStyle name="SAPBEXstdData 2 3 3" xfId="50617" xr:uid="{00000000-0005-0000-0000-000073C60000}"/>
    <cellStyle name="SAPBEXstdData 2 4" xfId="50618" xr:uid="{00000000-0005-0000-0000-000074C60000}"/>
    <cellStyle name="SAPBEXstdData 2 4 2" xfId="50619" xr:uid="{00000000-0005-0000-0000-000075C60000}"/>
    <cellStyle name="SAPBEXstdData 2 4 2 2" xfId="50620" xr:uid="{00000000-0005-0000-0000-000076C60000}"/>
    <cellStyle name="SAPBEXstdData 2 4 3" xfId="50621" xr:uid="{00000000-0005-0000-0000-000077C60000}"/>
    <cellStyle name="SAPBEXstdData 2 5" xfId="50622" xr:uid="{00000000-0005-0000-0000-000078C60000}"/>
    <cellStyle name="SAPBEXstdData 2 5 2" xfId="50623" xr:uid="{00000000-0005-0000-0000-000079C60000}"/>
    <cellStyle name="SAPBEXstdData 2 6" xfId="50624" xr:uid="{00000000-0005-0000-0000-00007AC60000}"/>
    <cellStyle name="SAPBEXstdData 2 6 2" xfId="50625" xr:uid="{00000000-0005-0000-0000-00007BC60000}"/>
    <cellStyle name="SAPBEXstdData 2 6 2 2" xfId="50626" xr:uid="{00000000-0005-0000-0000-00007CC60000}"/>
    <cellStyle name="SAPBEXstdData 2 6 2 2 2" xfId="50627" xr:uid="{00000000-0005-0000-0000-00007DC60000}"/>
    <cellStyle name="SAPBEXstdData 2 6 2 3" xfId="50628" xr:uid="{00000000-0005-0000-0000-00007EC60000}"/>
    <cellStyle name="SAPBEXstdData 2 6 3" xfId="50629" xr:uid="{00000000-0005-0000-0000-00007FC60000}"/>
    <cellStyle name="SAPBEXstdData 2 6 3 2" xfId="50630" xr:uid="{00000000-0005-0000-0000-000080C60000}"/>
    <cellStyle name="SAPBEXstdData 2 6 4" xfId="50631" xr:uid="{00000000-0005-0000-0000-000081C60000}"/>
    <cellStyle name="SAPBEXstdData 2 7" xfId="50632" xr:uid="{00000000-0005-0000-0000-000082C60000}"/>
    <cellStyle name="SAPBEXstdData 3" xfId="50633" xr:uid="{00000000-0005-0000-0000-000083C60000}"/>
    <cellStyle name="SAPBEXstdData 3 2" xfId="50634" xr:uid="{00000000-0005-0000-0000-000084C60000}"/>
    <cellStyle name="SAPBEXstdData 3 2 2" xfId="50635" xr:uid="{00000000-0005-0000-0000-000085C60000}"/>
    <cellStyle name="SAPBEXstdData 3 2 2 2" xfId="50636" xr:uid="{00000000-0005-0000-0000-000086C60000}"/>
    <cellStyle name="SAPBEXstdData 3 2 3" xfId="50637" xr:uid="{00000000-0005-0000-0000-000087C60000}"/>
    <cellStyle name="SAPBEXstdData 3 3" xfId="50638" xr:uid="{00000000-0005-0000-0000-000088C60000}"/>
    <cellStyle name="SAPBEXstdData 3 3 2" xfId="50639" xr:uid="{00000000-0005-0000-0000-000089C60000}"/>
    <cellStyle name="SAPBEXstdData 3 4" xfId="50640" xr:uid="{00000000-0005-0000-0000-00008AC60000}"/>
    <cellStyle name="SAPBEXstdData 4" xfId="50641" xr:uid="{00000000-0005-0000-0000-00008BC60000}"/>
    <cellStyle name="SAPBEXstdData 4 2" xfId="50642" xr:uid="{00000000-0005-0000-0000-00008CC60000}"/>
    <cellStyle name="SAPBEXstdData 4 2 2" xfId="50643" xr:uid="{00000000-0005-0000-0000-00008DC60000}"/>
    <cellStyle name="SAPBEXstdData 4 3" xfId="50644" xr:uid="{00000000-0005-0000-0000-00008EC60000}"/>
    <cellStyle name="SAPBEXstdData 5" xfId="50645" xr:uid="{00000000-0005-0000-0000-00008FC60000}"/>
    <cellStyle name="SAPBEXstdData 5 2" xfId="50646" xr:uid="{00000000-0005-0000-0000-000090C60000}"/>
    <cellStyle name="SAPBEXstdData 5 2 2" xfId="50647" xr:uid="{00000000-0005-0000-0000-000091C60000}"/>
    <cellStyle name="SAPBEXstdData 5 3" xfId="50648" xr:uid="{00000000-0005-0000-0000-000092C60000}"/>
    <cellStyle name="SAPBEXstdData 6" xfId="50649" xr:uid="{00000000-0005-0000-0000-000093C60000}"/>
    <cellStyle name="SAPBEXstdData 6 2" xfId="50650" xr:uid="{00000000-0005-0000-0000-000094C60000}"/>
    <cellStyle name="SAPBEXstdData 6 2 2" xfId="50651" xr:uid="{00000000-0005-0000-0000-000095C60000}"/>
    <cellStyle name="SAPBEXstdData 6 3" xfId="50652" xr:uid="{00000000-0005-0000-0000-000096C60000}"/>
    <cellStyle name="SAPBEXstdData 7" xfId="50653" xr:uid="{00000000-0005-0000-0000-000097C60000}"/>
    <cellStyle name="SAPBEXstdData 7 2" xfId="50654" xr:uid="{00000000-0005-0000-0000-000098C60000}"/>
    <cellStyle name="SAPBEXstdData 8" xfId="50655" xr:uid="{00000000-0005-0000-0000-000099C60000}"/>
    <cellStyle name="SAPBEXstdData 8 2" xfId="50656" xr:uid="{00000000-0005-0000-0000-00009AC60000}"/>
    <cellStyle name="SAPBEXstdData 9" xfId="50657" xr:uid="{00000000-0005-0000-0000-00009BC60000}"/>
    <cellStyle name="SAPBEXstdDataEmph" xfId="74" xr:uid="{00000000-0005-0000-0000-00009CC60000}"/>
    <cellStyle name="SAPBEXstdDataEmph 2" xfId="50658" xr:uid="{00000000-0005-0000-0000-00009DC60000}"/>
    <cellStyle name="SAPBEXstdDataEmph 2 2" xfId="50659" xr:uid="{00000000-0005-0000-0000-00009EC60000}"/>
    <cellStyle name="SAPBEXstdDataEmph 2 2 2" xfId="50660" xr:uid="{00000000-0005-0000-0000-00009FC60000}"/>
    <cellStyle name="SAPBEXstdDataEmph 2 3" xfId="50661" xr:uid="{00000000-0005-0000-0000-0000A0C60000}"/>
    <cellStyle name="SAPBEXstdDataEmph 2 3 2" xfId="50662" xr:uid="{00000000-0005-0000-0000-0000A1C60000}"/>
    <cellStyle name="SAPBEXstdDataEmph 2 3 2 2" xfId="50663" xr:uid="{00000000-0005-0000-0000-0000A2C60000}"/>
    <cellStyle name="SAPBEXstdDataEmph 2 3 3" xfId="50664" xr:uid="{00000000-0005-0000-0000-0000A3C60000}"/>
    <cellStyle name="SAPBEXstdDataEmph 2 4" xfId="50665" xr:uid="{00000000-0005-0000-0000-0000A4C60000}"/>
    <cellStyle name="SAPBEXstdDataEmph 2 4 2" xfId="50666" xr:uid="{00000000-0005-0000-0000-0000A5C60000}"/>
    <cellStyle name="SAPBEXstdDataEmph 2 4 2 2" xfId="50667" xr:uid="{00000000-0005-0000-0000-0000A6C60000}"/>
    <cellStyle name="SAPBEXstdDataEmph 2 4 3" xfId="50668" xr:uid="{00000000-0005-0000-0000-0000A7C60000}"/>
    <cellStyle name="SAPBEXstdDataEmph 2 5" xfId="50669" xr:uid="{00000000-0005-0000-0000-0000A8C60000}"/>
    <cellStyle name="SAPBEXstdDataEmph 3" xfId="50670" xr:uid="{00000000-0005-0000-0000-0000A9C60000}"/>
    <cellStyle name="SAPBEXstdDataEmph 3 2" xfId="50671" xr:uid="{00000000-0005-0000-0000-0000AAC60000}"/>
    <cellStyle name="SAPBEXstdDataEmph 3 2 2" xfId="50672" xr:uid="{00000000-0005-0000-0000-0000ABC60000}"/>
    <cellStyle name="SAPBEXstdDataEmph 3 2 2 2" xfId="50673" xr:uid="{00000000-0005-0000-0000-0000ACC60000}"/>
    <cellStyle name="SAPBEXstdDataEmph 3 2 3" xfId="50674" xr:uid="{00000000-0005-0000-0000-0000ADC60000}"/>
    <cellStyle name="SAPBEXstdDataEmph 3 3" xfId="50675" xr:uid="{00000000-0005-0000-0000-0000AEC60000}"/>
    <cellStyle name="SAPBEXstdDataEmph 3 3 2" xfId="50676" xr:uid="{00000000-0005-0000-0000-0000AFC60000}"/>
    <cellStyle name="SAPBEXstdDataEmph 3 4" xfId="50677" xr:uid="{00000000-0005-0000-0000-0000B0C60000}"/>
    <cellStyle name="SAPBEXstdDataEmph 4" xfId="50678" xr:uid="{00000000-0005-0000-0000-0000B1C60000}"/>
    <cellStyle name="SAPBEXstdDataEmph 4 2" xfId="50679" xr:uid="{00000000-0005-0000-0000-0000B2C60000}"/>
    <cellStyle name="SAPBEXstdDataEmph 4 2 2" xfId="50680" xr:uid="{00000000-0005-0000-0000-0000B3C60000}"/>
    <cellStyle name="SAPBEXstdDataEmph 4 3" xfId="50681" xr:uid="{00000000-0005-0000-0000-0000B4C60000}"/>
    <cellStyle name="SAPBEXstdDataEmph 5" xfId="50682" xr:uid="{00000000-0005-0000-0000-0000B5C60000}"/>
    <cellStyle name="SAPBEXstdDataEmph 5 2" xfId="50683" xr:uid="{00000000-0005-0000-0000-0000B6C60000}"/>
    <cellStyle name="SAPBEXstdDataEmph 5 2 2" xfId="50684" xr:uid="{00000000-0005-0000-0000-0000B7C60000}"/>
    <cellStyle name="SAPBEXstdDataEmph 5 3" xfId="50685" xr:uid="{00000000-0005-0000-0000-0000B8C60000}"/>
    <cellStyle name="SAPBEXstdDataEmph 6" xfId="50686" xr:uid="{00000000-0005-0000-0000-0000B9C60000}"/>
    <cellStyle name="SAPBEXstdDataEmph 6 2" xfId="50687" xr:uid="{00000000-0005-0000-0000-0000BAC60000}"/>
    <cellStyle name="SAPBEXstdDataEmph 6 2 2" xfId="50688" xr:uid="{00000000-0005-0000-0000-0000BBC60000}"/>
    <cellStyle name="SAPBEXstdDataEmph 6 3" xfId="50689" xr:uid="{00000000-0005-0000-0000-0000BCC60000}"/>
    <cellStyle name="SAPBEXstdDataEmph 7" xfId="50690" xr:uid="{00000000-0005-0000-0000-0000BDC60000}"/>
    <cellStyle name="SAPBEXstdDataEmph 7 2" xfId="50691" xr:uid="{00000000-0005-0000-0000-0000BEC60000}"/>
    <cellStyle name="SAPBEXstdDataEmph 8" xfId="50692" xr:uid="{00000000-0005-0000-0000-0000BFC60000}"/>
    <cellStyle name="SAPBEXstdItem" xfId="75" xr:uid="{00000000-0005-0000-0000-0000C0C60000}"/>
    <cellStyle name="SAPBEXstdItem 2" xfId="50693" xr:uid="{00000000-0005-0000-0000-0000C1C60000}"/>
    <cellStyle name="SAPBEXstdItem 2 2" xfId="50694" xr:uid="{00000000-0005-0000-0000-0000C2C60000}"/>
    <cellStyle name="SAPBEXstdItem 2 2 2" xfId="50695" xr:uid="{00000000-0005-0000-0000-0000C3C60000}"/>
    <cellStyle name="SAPBEXstdItem 2 2 2 2" xfId="50696" xr:uid="{00000000-0005-0000-0000-0000C4C60000}"/>
    <cellStyle name="SAPBEXstdItem 2 2 3" xfId="50697" xr:uid="{00000000-0005-0000-0000-0000C5C60000}"/>
    <cellStyle name="SAPBEXstdItem 2 3" xfId="50698" xr:uid="{00000000-0005-0000-0000-0000C6C60000}"/>
    <cellStyle name="SAPBEXstdItem 2 3 2" xfId="50699" xr:uid="{00000000-0005-0000-0000-0000C7C60000}"/>
    <cellStyle name="SAPBEXstdItem 2 3 2 2" xfId="50700" xr:uid="{00000000-0005-0000-0000-0000C8C60000}"/>
    <cellStyle name="SAPBEXstdItem 2 3 3" xfId="50701" xr:uid="{00000000-0005-0000-0000-0000C9C60000}"/>
    <cellStyle name="SAPBEXstdItem 2 4" xfId="50702" xr:uid="{00000000-0005-0000-0000-0000CAC60000}"/>
    <cellStyle name="SAPBEXstdItem 2 4 2" xfId="50703" xr:uid="{00000000-0005-0000-0000-0000CBC60000}"/>
    <cellStyle name="SAPBEXstdItem 2 4 2 2" xfId="50704" xr:uid="{00000000-0005-0000-0000-0000CCC60000}"/>
    <cellStyle name="SAPBEXstdItem 2 4 3" xfId="50705" xr:uid="{00000000-0005-0000-0000-0000CDC60000}"/>
    <cellStyle name="SAPBEXstdItem 2 5" xfId="50706" xr:uid="{00000000-0005-0000-0000-0000CEC60000}"/>
    <cellStyle name="SAPBEXstdItem 2 5 2" xfId="50707" xr:uid="{00000000-0005-0000-0000-0000CFC60000}"/>
    <cellStyle name="SAPBEXstdItem 2 6" xfId="50708" xr:uid="{00000000-0005-0000-0000-0000D0C60000}"/>
    <cellStyle name="SAPBEXstdItem 2 6 2" xfId="50709" xr:uid="{00000000-0005-0000-0000-0000D1C60000}"/>
    <cellStyle name="SAPBEXstdItem 2 6 2 2" xfId="50710" xr:uid="{00000000-0005-0000-0000-0000D2C60000}"/>
    <cellStyle name="SAPBEXstdItem 2 6 2 2 2" xfId="50711" xr:uid="{00000000-0005-0000-0000-0000D3C60000}"/>
    <cellStyle name="SAPBEXstdItem 2 6 2 3" xfId="50712" xr:uid="{00000000-0005-0000-0000-0000D4C60000}"/>
    <cellStyle name="SAPBEXstdItem 2 6 3" xfId="50713" xr:uid="{00000000-0005-0000-0000-0000D5C60000}"/>
    <cellStyle name="SAPBEXstdItem 2 6 3 2" xfId="50714" xr:uid="{00000000-0005-0000-0000-0000D6C60000}"/>
    <cellStyle name="SAPBEXstdItem 2 6 4" xfId="50715" xr:uid="{00000000-0005-0000-0000-0000D7C60000}"/>
    <cellStyle name="SAPBEXstdItem 2 7" xfId="50716" xr:uid="{00000000-0005-0000-0000-0000D8C60000}"/>
    <cellStyle name="SAPBEXstdItem 3" xfId="50717" xr:uid="{00000000-0005-0000-0000-0000D9C60000}"/>
    <cellStyle name="SAPBEXstdItem 3 2" xfId="50718" xr:uid="{00000000-0005-0000-0000-0000DAC60000}"/>
    <cellStyle name="SAPBEXstdItem 3 2 2" xfId="50719" xr:uid="{00000000-0005-0000-0000-0000DBC60000}"/>
    <cellStyle name="SAPBEXstdItem 3 2 2 2" xfId="50720" xr:uid="{00000000-0005-0000-0000-0000DCC60000}"/>
    <cellStyle name="SAPBEXstdItem 3 2 3" xfId="50721" xr:uid="{00000000-0005-0000-0000-0000DDC60000}"/>
    <cellStyle name="SAPBEXstdItem 3 3" xfId="50722" xr:uid="{00000000-0005-0000-0000-0000DEC60000}"/>
    <cellStyle name="SAPBEXstdItem 3 3 2" xfId="50723" xr:uid="{00000000-0005-0000-0000-0000DFC60000}"/>
    <cellStyle name="SAPBEXstdItem 3 4" xfId="50724" xr:uid="{00000000-0005-0000-0000-0000E0C60000}"/>
    <cellStyle name="SAPBEXstdItem 4" xfId="50725" xr:uid="{00000000-0005-0000-0000-0000E1C60000}"/>
    <cellStyle name="SAPBEXstdItem 4 2" xfId="50726" xr:uid="{00000000-0005-0000-0000-0000E2C60000}"/>
    <cellStyle name="SAPBEXstdItem 4 2 2" xfId="50727" xr:uid="{00000000-0005-0000-0000-0000E3C60000}"/>
    <cellStyle name="SAPBEXstdItem 4 3" xfId="50728" xr:uid="{00000000-0005-0000-0000-0000E4C60000}"/>
    <cellStyle name="SAPBEXstdItem 5" xfId="50729" xr:uid="{00000000-0005-0000-0000-0000E5C60000}"/>
    <cellStyle name="SAPBEXstdItem 5 2" xfId="50730" xr:uid="{00000000-0005-0000-0000-0000E6C60000}"/>
    <cellStyle name="SAPBEXstdItem 5 2 2" xfId="50731" xr:uid="{00000000-0005-0000-0000-0000E7C60000}"/>
    <cellStyle name="SAPBEXstdItem 5 3" xfId="50732" xr:uid="{00000000-0005-0000-0000-0000E8C60000}"/>
    <cellStyle name="SAPBEXstdItem 6" xfId="50733" xr:uid="{00000000-0005-0000-0000-0000E9C60000}"/>
    <cellStyle name="SAPBEXstdItem 6 2" xfId="50734" xr:uid="{00000000-0005-0000-0000-0000EAC60000}"/>
    <cellStyle name="SAPBEXstdItem 6 2 2" xfId="50735" xr:uid="{00000000-0005-0000-0000-0000EBC60000}"/>
    <cellStyle name="SAPBEXstdItem 6 3" xfId="50736" xr:uid="{00000000-0005-0000-0000-0000ECC60000}"/>
    <cellStyle name="SAPBEXstdItem 7" xfId="50737" xr:uid="{00000000-0005-0000-0000-0000EDC60000}"/>
    <cellStyle name="SAPBEXstdItem 7 2" xfId="50738" xr:uid="{00000000-0005-0000-0000-0000EEC60000}"/>
    <cellStyle name="SAPBEXstdItem 8" xfId="50739" xr:uid="{00000000-0005-0000-0000-0000EFC60000}"/>
    <cellStyle name="SAPBEXstdItem 8 2" xfId="50740" xr:uid="{00000000-0005-0000-0000-0000F0C60000}"/>
    <cellStyle name="SAPBEXstdItem 9" xfId="50741" xr:uid="{00000000-0005-0000-0000-0000F1C60000}"/>
    <cellStyle name="SAPBEXstdItem_Forecast Template 3-31-11.updates (Alan Updates)" xfId="50742" xr:uid="{00000000-0005-0000-0000-0000F2C60000}"/>
    <cellStyle name="SAPBEXstdItemX" xfId="76" xr:uid="{00000000-0005-0000-0000-0000F3C60000}"/>
    <cellStyle name="SAPBEXstdItemX 10" xfId="50743" xr:uid="{00000000-0005-0000-0000-0000F4C60000}"/>
    <cellStyle name="SAPBEXstdItemX 10 2" xfId="50744" xr:uid="{00000000-0005-0000-0000-0000F5C60000}"/>
    <cellStyle name="SAPBEXstdItemX 10 2 2" xfId="50745" xr:uid="{00000000-0005-0000-0000-0000F6C60000}"/>
    <cellStyle name="SAPBEXstdItemX 10 3" xfId="50746" xr:uid="{00000000-0005-0000-0000-0000F7C60000}"/>
    <cellStyle name="SAPBEXstdItemX 11" xfId="50747" xr:uid="{00000000-0005-0000-0000-0000F8C60000}"/>
    <cellStyle name="SAPBEXstdItemX 11 2" xfId="50748" xr:uid="{00000000-0005-0000-0000-0000F9C60000}"/>
    <cellStyle name="SAPBEXstdItemX 12" xfId="50749" xr:uid="{00000000-0005-0000-0000-0000FAC60000}"/>
    <cellStyle name="SAPBEXstdItemX 12 2" xfId="50750" xr:uid="{00000000-0005-0000-0000-0000FBC60000}"/>
    <cellStyle name="SAPBEXstdItemX 12 2 2" xfId="50751" xr:uid="{00000000-0005-0000-0000-0000FCC60000}"/>
    <cellStyle name="SAPBEXstdItemX 12 3" xfId="50752" xr:uid="{00000000-0005-0000-0000-0000FDC60000}"/>
    <cellStyle name="SAPBEXstdItemX 12 3 2" xfId="50753" xr:uid="{00000000-0005-0000-0000-0000FEC60000}"/>
    <cellStyle name="SAPBEXstdItemX 12 4" xfId="50754" xr:uid="{00000000-0005-0000-0000-0000FFC60000}"/>
    <cellStyle name="SAPBEXstdItemX 13" xfId="50755" xr:uid="{00000000-0005-0000-0000-000000C70000}"/>
    <cellStyle name="SAPBEXstdItemX 13 2" xfId="50756" xr:uid="{00000000-0005-0000-0000-000001C70000}"/>
    <cellStyle name="SAPBEXstdItemX 14" xfId="50757" xr:uid="{00000000-0005-0000-0000-000002C70000}"/>
    <cellStyle name="SAPBEXstdItemX 14 2" xfId="50758" xr:uid="{00000000-0005-0000-0000-000003C70000}"/>
    <cellStyle name="SAPBEXstdItemX 15" xfId="50759" xr:uid="{00000000-0005-0000-0000-000004C70000}"/>
    <cellStyle name="SAPBEXstdItemX 15 2" xfId="50760" xr:uid="{00000000-0005-0000-0000-000005C70000}"/>
    <cellStyle name="SAPBEXstdItemX 16" xfId="50761" xr:uid="{00000000-0005-0000-0000-000006C70000}"/>
    <cellStyle name="SAPBEXstdItemX 17" xfId="50762" xr:uid="{00000000-0005-0000-0000-000007C70000}"/>
    <cellStyle name="SAPBEXstdItemX 2" xfId="50763" xr:uid="{00000000-0005-0000-0000-000008C70000}"/>
    <cellStyle name="SAPBEXstdItemX 2 10" xfId="50764" xr:uid="{00000000-0005-0000-0000-000009C70000}"/>
    <cellStyle name="SAPBEXstdItemX 2 2" xfId="50765" xr:uid="{00000000-0005-0000-0000-00000AC70000}"/>
    <cellStyle name="SAPBEXstdItemX 2 2 2" xfId="50766" xr:uid="{00000000-0005-0000-0000-00000BC70000}"/>
    <cellStyle name="SAPBEXstdItemX 2 2 2 2" xfId="50767" xr:uid="{00000000-0005-0000-0000-00000CC70000}"/>
    <cellStyle name="SAPBEXstdItemX 2 2 2 2 2" xfId="50768" xr:uid="{00000000-0005-0000-0000-00000DC70000}"/>
    <cellStyle name="SAPBEXstdItemX 2 2 2 2 2 2" xfId="50769" xr:uid="{00000000-0005-0000-0000-00000EC70000}"/>
    <cellStyle name="SAPBEXstdItemX 2 2 2 2 3" xfId="50770" xr:uid="{00000000-0005-0000-0000-00000FC70000}"/>
    <cellStyle name="SAPBEXstdItemX 2 2 2 3" xfId="50771" xr:uid="{00000000-0005-0000-0000-000010C70000}"/>
    <cellStyle name="SAPBEXstdItemX 2 2 2 3 2" xfId="50772" xr:uid="{00000000-0005-0000-0000-000011C70000}"/>
    <cellStyle name="SAPBEXstdItemX 2 2 2 4" xfId="50773" xr:uid="{00000000-0005-0000-0000-000012C70000}"/>
    <cellStyle name="SAPBEXstdItemX 2 2 3" xfId="50774" xr:uid="{00000000-0005-0000-0000-000013C70000}"/>
    <cellStyle name="SAPBEXstdItemX 2 2 3 2" xfId="50775" xr:uid="{00000000-0005-0000-0000-000014C70000}"/>
    <cellStyle name="SAPBEXstdItemX 2 2 3 2 2" xfId="50776" xr:uid="{00000000-0005-0000-0000-000015C70000}"/>
    <cellStyle name="SAPBEXstdItemX 2 2 3 3" xfId="50777" xr:uid="{00000000-0005-0000-0000-000016C70000}"/>
    <cellStyle name="SAPBEXstdItemX 2 2 4" xfId="50778" xr:uid="{00000000-0005-0000-0000-000017C70000}"/>
    <cellStyle name="SAPBEXstdItemX 2 2 4 2" xfId="50779" xr:uid="{00000000-0005-0000-0000-000018C70000}"/>
    <cellStyle name="SAPBEXstdItemX 2 2 4 2 2" xfId="50780" xr:uid="{00000000-0005-0000-0000-000019C70000}"/>
    <cellStyle name="SAPBEXstdItemX 2 2 4 3" xfId="50781" xr:uid="{00000000-0005-0000-0000-00001AC70000}"/>
    <cellStyle name="SAPBEXstdItemX 2 2 5" xfId="50782" xr:uid="{00000000-0005-0000-0000-00001BC70000}"/>
    <cellStyle name="SAPBEXstdItemX 2 2 5 2" xfId="50783" xr:uid="{00000000-0005-0000-0000-00001CC70000}"/>
    <cellStyle name="SAPBEXstdItemX 2 2 5 2 2" xfId="50784" xr:uid="{00000000-0005-0000-0000-00001DC70000}"/>
    <cellStyle name="SAPBEXstdItemX 2 2 5 3" xfId="50785" xr:uid="{00000000-0005-0000-0000-00001EC70000}"/>
    <cellStyle name="SAPBEXstdItemX 2 2 6" xfId="50786" xr:uid="{00000000-0005-0000-0000-00001FC70000}"/>
    <cellStyle name="SAPBEXstdItemX 2 2 6 2" xfId="50787" xr:uid="{00000000-0005-0000-0000-000020C70000}"/>
    <cellStyle name="SAPBEXstdItemX 2 2 7" xfId="50788" xr:uid="{00000000-0005-0000-0000-000021C70000}"/>
    <cellStyle name="SAPBEXstdItemX 2 3" xfId="50789" xr:uid="{00000000-0005-0000-0000-000022C70000}"/>
    <cellStyle name="SAPBEXstdItemX 2 3 2" xfId="50790" xr:uid="{00000000-0005-0000-0000-000023C70000}"/>
    <cellStyle name="SAPBEXstdItemX 2 3 2 2" xfId="50791" xr:uid="{00000000-0005-0000-0000-000024C70000}"/>
    <cellStyle name="SAPBEXstdItemX 2 3 2 2 2" xfId="50792" xr:uid="{00000000-0005-0000-0000-000025C70000}"/>
    <cellStyle name="SAPBEXstdItemX 2 3 2 2 2 2" xfId="50793" xr:uid="{00000000-0005-0000-0000-000026C70000}"/>
    <cellStyle name="SAPBEXstdItemX 2 3 2 2 2 2 2" xfId="50794" xr:uid="{00000000-0005-0000-0000-000027C70000}"/>
    <cellStyle name="SAPBEXstdItemX 2 3 2 2 2 3" xfId="50795" xr:uid="{00000000-0005-0000-0000-000028C70000}"/>
    <cellStyle name="SAPBEXstdItemX 2 3 2 2 3" xfId="50796" xr:uid="{00000000-0005-0000-0000-000029C70000}"/>
    <cellStyle name="SAPBEXstdItemX 2 3 2 2 3 2" xfId="50797" xr:uid="{00000000-0005-0000-0000-00002AC70000}"/>
    <cellStyle name="SAPBEXstdItemX 2 3 2 2 4" xfId="50798" xr:uid="{00000000-0005-0000-0000-00002BC70000}"/>
    <cellStyle name="SAPBEXstdItemX 2 3 2 3" xfId="50799" xr:uid="{00000000-0005-0000-0000-00002CC70000}"/>
    <cellStyle name="SAPBEXstdItemX 2 3 2 3 2" xfId="50800" xr:uid="{00000000-0005-0000-0000-00002DC70000}"/>
    <cellStyle name="SAPBEXstdItemX 2 3 2 3 2 2" xfId="50801" xr:uid="{00000000-0005-0000-0000-00002EC70000}"/>
    <cellStyle name="SAPBEXstdItemX 2 3 2 3 3" xfId="50802" xr:uid="{00000000-0005-0000-0000-00002FC70000}"/>
    <cellStyle name="SAPBEXstdItemX 2 3 2 4" xfId="50803" xr:uid="{00000000-0005-0000-0000-000030C70000}"/>
    <cellStyle name="SAPBEXstdItemX 2 3 2 4 2" xfId="50804" xr:uid="{00000000-0005-0000-0000-000031C70000}"/>
    <cellStyle name="SAPBEXstdItemX 2 3 2 4 2 2" xfId="50805" xr:uid="{00000000-0005-0000-0000-000032C70000}"/>
    <cellStyle name="SAPBEXstdItemX 2 3 2 4 3" xfId="50806" xr:uid="{00000000-0005-0000-0000-000033C70000}"/>
    <cellStyle name="SAPBEXstdItemX 2 3 2 5" xfId="50807" xr:uid="{00000000-0005-0000-0000-000034C70000}"/>
    <cellStyle name="SAPBEXstdItemX 2 3 2 5 2" xfId="50808" xr:uid="{00000000-0005-0000-0000-000035C70000}"/>
    <cellStyle name="SAPBEXstdItemX 2 3 2 6" xfId="50809" xr:uid="{00000000-0005-0000-0000-000036C70000}"/>
    <cellStyle name="SAPBEXstdItemX 2 3 3" xfId="50810" xr:uid="{00000000-0005-0000-0000-000037C70000}"/>
    <cellStyle name="SAPBEXstdItemX 2 3 3 2" xfId="50811" xr:uid="{00000000-0005-0000-0000-000038C70000}"/>
    <cellStyle name="SAPBEXstdItemX 2 3 3 2 2" xfId="50812" xr:uid="{00000000-0005-0000-0000-000039C70000}"/>
    <cellStyle name="SAPBEXstdItemX 2 3 3 2 2 2" xfId="50813" xr:uid="{00000000-0005-0000-0000-00003AC70000}"/>
    <cellStyle name="SAPBEXstdItemX 2 3 3 2 2 2 2" xfId="50814" xr:uid="{00000000-0005-0000-0000-00003BC70000}"/>
    <cellStyle name="SAPBEXstdItemX 2 3 3 2 2 3" xfId="50815" xr:uid="{00000000-0005-0000-0000-00003CC70000}"/>
    <cellStyle name="SAPBEXstdItemX 2 3 3 2 3" xfId="50816" xr:uid="{00000000-0005-0000-0000-00003DC70000}"/>
    <cellStyle name="SAPBEXstdItemX 2 3 3 2 3 2" xfId="50817" xr:uid="{00000000-0005-0000-0000-00003EC70000}"/>
    <cellStyle name="SAPBEXstdItemX 2 3 3 2 4" xfId="50818" xr:uid="{00000000-0005-0000-0000-00003FC70000}"/>
    <cellStyle name="SAPBEXstdItemX 2 3 3 3" xfId="50819" xr:uid="{00000000-0005-0000-0000-000040C70000}"/>
    <cellStyle name="SAPBEXstdItemX 2 3 3 3 2" xfId="50820" xr:uid="{00000000-0005-0000-0000-000041C70000}"/>
    <cellStyle name="SAPBEXstdItemX 2 3 3 3 2 2" xfId="50821" xr:uid="{00000000-0005-0000-0000-000042C70000}"/>
    <cellStyle name="SAPBEXstdItemX 2 3 3 3 3" xfId="50822" xr:uid="{00000000-0005-0000-0000-000043C70000}"/>
    <cellStyle name="SAPBEXstdItemX 2 3 3 4" xfId="50823" xr:uid="{00000000-0005-0000-0000-000044C70000}"/>
    <cellStyle name="SAPBEXstdItemX 2 3 3 4 2" xfId="50824" xr:uid="{00000000-0005-0000-0000-000045C70000}"/>
    <cellStyle name="SAPBEXstdItemX 2 3 3 5" xfId="50825" xr:uid="{00000000-0005-0000-0000-000046C70000}"/>
    <cellStyle name="SAPBEXstdItemX 2 3 4" xfId="50826" xr:uid="{00000000-0005-0000-0000-000047C70000}"/>
    <cellStyle name="SAPBEXstdItemX 2 3 4 2" xfId="50827" xr:uid="{00000000-0005-0000-0000-000048C70000}"/>
    <cellStyle name="SAPBEXstdItemX 2 3 4 2 2" xfId="50828" xr:uid="{00000000-0005-0000-0000-000049C70000}"/>
    <cellStyle name="SAPBEXstdItemX 2 3 4 3" xfId="50829" xr:uid="{00000000-0005-0000-0000-00004AC70000}"/>
    <cellStyle name="SAPBEXstdItemX 2 3 5" xfId="50830" xr:uid="{00000000-0005-0000-0000-00004BC70000}"/>
    <cellStyle name="SAPBEXstdItemX 2 3 5 2" xfId="50831" xr:uid="{00000000-0005-0000-0000-00004CC70000}"/>
    <cellStyle name="SAPBEXstdItemX 2 3 5 2 2" xfId="50832" xr:uid="{00000000-0005-0000-0000-00004DC70000}"/>
    <cellStyle name="SAPBEXstdItemX 2 3 5 3" xfId="50833" xr:uid="{00000000-0005-0000-0000-00004EC70000}"/>
    <cellStyle name="SAPBEXstdItemX 2 3 6" xfId="50834" xr:uid="{00000000-0005-0000-0000-00004FC70000}"/>
    <cellStyle name="SAPBEXstdItemX 2 3 6 2" xfId="50835" xr:uid="{00000000-0005-0000-0000-000050C70000}"/>
    <cellStyle name="SAPBEXstdItemX 2 3 6 2 2" xfId="50836" xr:uid="{00000000-0005-0000-0000-000051C70000}"/>
    <cellStyle name="SAPBEXstdItemX 2 3 6 3" xfId="50837" xr:uid="{00000000-0005-0000-0000-000052C70000}"/>
    <cellStyle name="SAPBEXstdItemX 2 3 7" xfId="50838" xr:uid="{00000000-0005-0000-0000-000053C70000}"/>
    <cellStyle name="SAPBEXstdItemX 2 3 7 2" xfId="50839" xr:uid="{00000000-0005-0000-0000-000054C70000}"/>
    <cellStyle name="SAPBEXstdItemX 2 3 8" xfId="50840" xr:uid="{00000000-0005-0000-0000-000055C70000}"/>
    <cellStyle name="SAPBEXstdItemX 2 4" xfId="50841" xr:uid="{00000000-0005-0000-0000-000056C70000}"/>
    <cellStyle name="SAPBEXstdItemX 2 4 2" xfId="50842" xr:uid="{00000000-0005-0000-0000-000057C70000}"/>
    <cellStyle name="SAPBEXstdItemX 2 4 2 2" xfId="50843" xr:uid="{00000000-0005-0000-0000-000058C70000}"/>
    <cellStyle name="SAPBEXstdItemX 2 4 2 2 2" xfId="50844" xr:uid="{00000000-0005-0000-0000-000059C70000}"/>
    <cellStyle name="SAPBEXstdItemX 2 4 2 2 2 2" xfId="50845" xr:uid="{00000000-0005-0000-0000-00005AC70000}"/>
    <cellStyle name="SAPBEXstdItemX 2 4 2 2 3" xfId="50846" xr:uid="{00000000-0005-0000-0000-00005BC70000}"/>
    <cellStyle name="SAPBEXstdItemX 2 4 2 3" xfId="50847" xr:uid="{00000000-0005-0000-0000-00005CC70000}"/>
    <cellStyle name="SAPBEXstdItemX 2 4 2 3 2" xfId="50848" xr:uid="{00000000-0005-0000-0000-00005DC70000}"/>
    <cellStyle name="SAPBEXstdItemX 2 4 2 3 2 2" xfId="50849" xr:uid="{00000000-0005-0000-0000-00005EC70000}"/>
    <cellStyle name="SAPBEXstdItemX 2 4 2 3 3" xfId="50850" xr:uid="{00000000-0005-0000-0000-00005FC70000}"/>
    <cellStyle name="SAPBEXstdItemX 2 4 2 4" xfId="50851" xr:uid="{00000000-0005-0000-0000-000060C70000}"/>
    <cellStyle name="SAPBEXstdItemX 2 4 2 4 2" xfId="50852" xr:uid="{00000000-0005-0000-0000-000061C70000}"/>
    <cellStyle name="SAPBEXstdItemX 2 4 2 5" xfId="50853" xr:uid="{00000000-0005-0000-0000-000062C70000}"/>
    <cellStyle name="SAPBEXstdItemX 2 4 3" xfId="50854" xr:uid="{00000000-0005-0000-0000-000063C70000}"/>
    <cellStyle name="SAPBEXstdItemX 2 4 3 2" xfId="50855" xr:uid="{00000000-0005-0000-0000-000064C70000}"/>
    <cellStyle name="SAPBEXstdItemX 2 4 3 2 2" xfId="50856" xr:uid="{00000000-0005-0000-0000-000065C70000}"/>
    <cellStyle name="SAPBEXstdItemX 2 4 3 2 2 2" xfId="50857" xr:uid="{00000000-0005-0000-0000-000066C70000}"/>
    <cellStyle name="SAPBEXstdItemX 2 4 3 2 3" xfId="50858" xr:uid="{00000000-0005-0000-0000-000067C70000}"/>
    <cellStyle name="SAPBEXstdItemX 2 4 3 3" xfId="50859" xr:uid="{00000000-0005-0000-0000-000068C70000}"/>
    <cellStyle name="SAPBEXstdItemX 2 4 3 3 2" xfId="50860" xr:uid="{00000000-0005-0000-0000-000069C70000}"/>
    <cellStyle name="SAPBEXstdItemX 2 4 3 4" xfId="50861" xr:uid="{00000000-0005-0000-0000-00006AC70000}"/>
    <cellStyle name="SAPBEXstdItemX 2 4 4" xfId="50862" xr:uid="{00000000-0005-0000-0000-00006BC70000}"/>
    <cellStyle name="SAPBEXstdItemX 2 4 4 2" xfId="50863" xr:uid="{00000000-0005-0000-0000-00006CC70000}"/>
    <cellStyle name="SAPBEXstdItemX 2 4 4 2 2" xfId="50864" xr:uid="{00000000-0005-0000-0000-00006DC70000}"/>
    <cellStyle name="SAPBEXstdItemX 2 4 4 3" xfId="50865" xr:uid="{00000000-0005-0000-0000-00006EC70000}"/>
    <cellStyle name="SAPBEXstdItemX 2 4 5" xfId="50866" xr:uid="{00000000-0005-0000-0000-00006FC70000}"/>
    <cellStyle name="SAPBEXstdItemX 2 4 5 2" xfId="50867" xr:uid="{00000000-0005-0000-0000-000070C70000}"/>
    <cellStyle name="SAPBEXstdItemX 2 4 6" xfId="50868" xr:uid="{00000000-0005-0000-0000-000071C70000}"/>
    <cellStyle name="SAPBEXstdItemX 2 5" xfId="50869" xr:uid="{00000000-0005-0000-0000-000072C70000}"/>
    <cellStyle name="SAPBEXstdItemX 2 5 2" xfId="50870" xr:uid="{00000000-0005-0000-0000-000073C70000}"/>
    <cellStyle name="SAPBEXstdItemX 2 5 2 2" xfId="50871" xr:uid="{00000000-0005-0000-0000-000074C70000}"/>
    <cellStyle name="SAPBEXstdItemX 2 5 2 2 2" xfId="50872" xr:uid="{00000000-0005-0000-0000-000075C70000}"/>
    <cellStyle name="SAPBEXstdItemX 2 5 2 2 2 2" xfId="50873" xr:uid="{00000000-0005-0000-0000-000076C70000}"/>
    <cellStyle name="SAPBEXstdItemX 2 5 2 2 3" xfId="50874" xr:uid="{00000000-0005-0000-0000-000077C70000}"/>
    <cellStyle name="SAPBEXstdItemX 2 5 2 3" xfId="50875" xr:uid="{00000000-0005-0000-0000-000078C70000}"/>
    <cellStyle name="SAPBEXstdItemX 2 5 2 3 2" xfId="50876" xr:uid="{00000000-0005-0000-0000-000079C70000}"/>
    <cellStyle name="SAPBEXstdItemX 2 5 2 4" xfId="50877" xr:uid="{00000000-0005-0000-0000-00007AC70000}"/>
    <cellStyle name="SAPBEXstdItemX 2 5 3" xfId="50878" xr:uid="{00000000-0005-0000-0000-00007BC70000}"/>
    <cellStyle name="SAPBEXstdItemX 2 5 3 2" xfId="50879" xr:uid="{00000000-0005-0000-0000-00007CC70000}"/>
    <cellStyle name="SAPBEXstdItemX 2 5 3 2 2" xfId="50880" xr:uid="{00000000-0005-0000-0000-00007DC70000}"/>
    <cellStyle name="SAPBEXstdItemX 2 5 3 3" xfId="50881" xr:uid="{00000000-0005-0000-0000-00007EC70000}"/>
    <cellStyle name="SAPBEXstdItemX 2 5 4" xfId="50882" xr:uid="{00000000-0005-0000-0000-00007FC70000}"/>
    <cellStyle name="SAPBEXstdItemX 2 5 4 2" xfId="50883" xr:uid="{00000000-0005-0000-0000-000080C70000}"/>
    <cellStyle name="SAPBEXstdItemX 2 5 5" xfId="50884" xr:uid="{00000000-0005-0000-0000-000081C70000}"/>
    <cellStyle name="SAPBEXstdItemX 2 6" xfId="50885" xr:uid="{00000000-0005-0000-0000-000082C70000}"/>
    <cellStyle name="SAPBEXstdItemX 2 6 2" xfId="50886" xr:uid="{00000000-0005-0000-0000-000083C70000}"/>
    <cellStyle name="SAPBEXstdItemX 2 6 2 2" xfId="50887" xr:uid="{00000000-0005-0000-0000-000084C70000}"/>
    <cellStyle name="SAPBEXstdItemX 2 6 3" xfId="50888" xr:uid="{00000000-0005-0000-0000-000085C70000}"/>
    <cellStyle name="SAPBEXstdItemX 2 7" xfId="50889" xr:uid="{00000000-0005-0000-0000-000086C70000}"/>
    <cellStyle name="SAPBEXstdItemX 2 7 2" xfId="50890" xr:uid="{00000000-0005-0000-0000-000087C70000}"/>
    <cellStyle name="SAPBEXstdItemX 2 7 2 2" xfId="50891" xr:uid="{00000000-0005-0000-0000-000088C70000}"/>
    <cellStyle name="SAPBEXstdItemX 2 7 3" xfId="50892" xr:uid="{00000000-0005-0000-0000-000089C70000}"/>
    <cellStyle name="SAPBEXstdItemX 2 8" xfId="50893" xr:uid="{00000000-0005-0000-0000-00008AC70000}"/>
    <cellStyle name="SAPBEXstdItemX 2 8 2" xfId="50894" xr:uid="{00000000-0005-0000-0000-00008BC70000}"/>
    <cellStyle name="SAPBEXstdItemX 2 8 2 2" xfId="50895" xr:uid="{00000000-0005-0000-0000-00008CC70000}"/>
    <cellStyle name="SAPBEXstdItemX 2 8 3" xfId="50896" xr:uid="{00000000-0005-0000-0000-00008DC70000}"/>
    <cellStyle name="SAPBEXstdItemX 2 9" xfId="50897" xr:uid="{00000000-0005-0000-0000-00008EC70000}"/>
    <cellStyle name="SAPBEXstdItemX 2 9 2" xfId="50898" xr:uid="{00000000-0005-0000-0000-00008FC70000}"/>
    <cellStyle name="SAPBEXstdItemX 3" xfId="50899" xr:uid="{00000000-0005-0000-0000-000090C70000}"/>
    <cellStyle name="SAPBEXstdItemX 3 2" xfId="50900" xr:uid="{00000000-0005-0000-0000-000091C70000}"/>
    <cellStyle name="SAPBEXstdItemX 3 2 2" xfId="50901" xr:uid="{00000000-0005-0000-0000-000092C70000}"/>
    <cellStyle name="SAPBEXstdItemX 3 2 2 2" xfId="50902" xr:uid="{00000000-0005-0000-0000-000093C70000}"/>
    <cellStyle name="SAPBEXstdItemX 3 2 2 2 2" xfId="50903" xr:uid="{00000000-0005-0000-0000-000094C70000}"/>
    <cellStyle name="SAPBEXstdItemX 3 2 2 2 2 2" xfId="50904" xr:uid="{00000000-0005-0000-0000-000095C70000}"/>
    <cellStyle name="SAPBEXstdItemX 3 2 2 2 3" xfId="50905" xr:uid="{00000000-0005-0000-0000-000096C70000}"/>
    <cellStyle name="SAPBEXstdItemX 3 2 2 3" xfId="50906" xr:uid="{00000000-0005-0000-0000-000097C70000}"/>
    <cellStyle name="SAPBEXstdItemX 3 2 2 3 2" xfId="50907" xr:uid="{00000000-0005-0000-0000-000098C70000}"/>
    <cellStyle name="SAPBEXstdItemX 3 2 2 4" xfId="50908" xr:uid="{00000000-0005-0000-0000-000099C70000}"/>
    <cellStyle name="SAPBEXstdItemX 3 2 3" xfId="50909" xr:uid="{00000000-0005-0000-0000-00009AC70000}"/>
    <cellStyle name="SAPBEXstdItemX 3 2 3 2" xfId="50910" xr:uid="{00000000-0005-0000-0000-00009BC70000}"/>
    <cellStyle name="SAPBEXstdItemX 3 2 3 2 2" xfId="50911" xr:uid="{00000000-0005-0000-0000-00009CC70000}"/>
    <cellStyle name="SAPBEXstdItemX 3 2 3 3" xfId="50912" xr:uid="{00000000-0005-0000-0000-00009DC70000}"/>
    <cellStyle name="SAPBEXstdItemX 3 2 4" xfId="50913" xr:uid="{00000000-0005-0000-0000-00009EC70000}"/>
    <cellStyle name="SAPBEXstdItemX 3 2 4 2" xfId="50914" xr:uid="{00000000-0005-0000-0000-00009FC70000}"/>
    <cellStyle name="SAPBEXstdItemX 3 2 4 2 2" xfId="50915" xr:uid="{00000000-0005-0000-0000-0000A0C70000}"/>
    <cellStyle name="SAPBEXstdItemX 3 2 4 3" xfId="50916" xr:uid="{00000000-0005-0000-0000-0000A1C70000}"/>
    <cellStyle name="SAPBEXstdItemX 3 2 5" xfId="50917" xr:uid="{00000000-0005-0000-0000-0000A2C70000}"/>
    <cellStyle name="SAPBEXstdItemX 3 2 5 2" xfId="50918" xr:uid="{00000000-0005-0000-0000-0000A3C70000}"/>
    <cellStyle name="SAPBEXstdItemX 3 2 5 2 2" xfId="50919" xr:uid="{00000000-0005-0000-0000-0000A4C70000}"/>
    <cellStyle name="SAPBEXstdItemX 3 2 5 3" xfId="50920" xr:uid="{00000000-0005-0000-0000-0000A5C70000}"/>
    <cellStyle name="SAPBEXstdItemX 3 2 6" xfId="50921" xr:uid="{00000000-0005-0000-0000-0000A6C70000}"/>
    <cellStyle name="SAPBEXstdItemX 3 2 6 2" xfId="50922" xr:uid="{00000000-0005-0000-0000-0000A7C70000}"/>
    <cellStyle name="SAPBEXstdItemX 3 2 7" xfId="50923" xr:uid="{00000000-0005-0000-0000-0000A8C70000}"/>
    <cellStyle name="SAPBEXstdItemX 3 3" xfId="50924" xr:uid="{00000000-0005-0000-0000-0000A9C70000}"/>
    <cellStyle name="SAPBEXstdItemX 3 3 2" xfId="50925" xr:uid="{00000000-0005-0000-0000-0000AAC70000}"/>
    <cellStyle name="SAPBEXstdItemX 3 3 2 2" xfId="50926" xr:uid="{00000000-0005-0000-0000-0000ABC70000}"/>
    <cellStyle name="SAPBEXstdItemX 3 3 2 2 2" xfId="50927" xr:uid="{00000000-0005-0000-0000-0000ACC70000}"/>
    <cellStyle name="SAPBEXstdItemX 3 3 2 2 2 2" xfId="50928" xr:uid="{00000000-0005-0000-0000-0000ADC70000}"/>
    <cellStyle name="SAPBEXstdItemX 3 3 2 2 3" xfId="50929" xr:uid="{00000000-0005-0000-0000-0000AEC70000}"/>
    <cellStyle name="SAPBEXstdItemX 3 3 2 3" xfId="50930" xr:uid="{00000000-0005-0000-0000-0000AFC70000}"/>
    <cellStyle name="SAPBEXstdItemX 3 3 2 3 2" xfId="50931" xr:uid="{00000000-0005-0000-0000-0000B0C70000}"/>
    <cellStyle name="SAPBEXstdItemX 3 3 2 4" xfId="50932" xr:uid="{00000000-0005-0000-0000-0000B1C70000}"/>
    <cellStyle name="SAPBEXstdItemX 3 3 3" xfId="50933" xr:uid="{00000000-0005-0000-0000-0000B2C70000}"/>
    <cellStyle name="SAPBEXstdItemX 3 3 3 2" xfId="50934" xr:uid="{00000000-0005-0000-0000-0000B3C70000}"/>
    <cellStyle name="SAPBEXstdItemX 3 3 3 2 2" xfId="50935" xr:uid="{00000000-0005-0000-0000-0000B4C70000}"/>
    <cellStyle name="SAPBEXstdItemX 3 3 3 3" xfId="50936" xr:uid="{00000000-0005-0000-0000-0000B5C70000}"/>
    <cellStyle name="SAPBEXstdItemX 3 3 4" xfId="50937" xr:uid="{00000000-0005-0000-0000-0000B6C70000}"/>
    <cellStyle name="SAPBEXstdItemX 3 3 4 2" xfId="50938" xr:uid="{00000000-0005-0000-0000-0000B7C70000}"/>
    <cellStyle name="SAPBEXstdItemX 3 3 5" xfId="50939" xr:uid="{00000000-0005-0000-0000-0000B8C70000}"/>
    <cellStyle name="SAPBEXstdItemX 3 4" xfId="50940" xr:uid="{00000000-0005-0000-0000-0000B9C70000}"/>
    <cellStyle name="SAPBEXstdItemX 3 4 2" xfId="50941" xr:uid="{00000000-0005-0000-0000-0000BAC70000}"/>
    <cellStyle name="SAPBEXstdItemX 3 4 2 2" xfId="50942" xr:uid="{00000000-0005-0000-0000-0000BBC70000}"/>
    <cellStyle name="SAPBEXstdItemX 3 4 3" xfId="50943" xr:uid="{00000000-0005-0000-0000-0000BCC70000}"/>
    <cellStyle name="SAPBEXstdItemX 3 5" xfId="50944" xr:uid="{00000000-0005-0000-0000-0000BDC70000}"/>
    <cellStyle name="SAPBEXstdItemX 3 5 2" xfId="50945" xr:uid="{00000000-0005-0000-0000-0000BEC70000}"/>
    <cellStyle name="SAPBEXstdItemX 3 5 2 2" xfId="50946" xr:uid="{00000000-0005-0000-0000-0000BFC70000}"/>
    <cellStyle name="SAPBEXstdItemX 3 5 3" xfId="50947" xr:uid="{00000000-0005-0000-0000-0000C0C70000}"/>
    <cellStyle name="SAPBEXstdItemX 3 6" xfId="50948" xr:uid="{00000000-0005-0000-0000-0000C1C70000}"/>
    <cellStyle name="SAPBEXstdItemX 3 6 2" xfId="50949" xr:uid="{00000000-0005-0000-0000-0000C2C70000}"/>
    <cellStyle name="SAPBEXstdItemX 3 6 2 2" xfId="50950" xr:uid="{00000000-0005-0000-0000-0000C3C70000}"/>
    <cellStyle name="SAPBEXstdItemX 3 6 3" xfId="50951" xr:uid="{00000000-0005-0000-0000-0000C4C70000}"/>
    <cellStyle name="SAPBEXstdItemX 3 7" xfId="50952" xr:uid="{00000000-0005-0000-0000-0000C5C70000}"/>
    <cellStyle name="SAPBEXstdItemX 3 7 2" xfId="50953" xr:uid="{00000000-0005-0000-0000-0000C6C70000}"/>
    <cellStyle name="SAPBEXstdItemX 3 8" xfId="50954" xr:uid="{00000000-0005-0000-0000-0000C7C70000}"/>
    <cellStyle name="SAPBEXstdItemX 4" xfId="50955" xr:uid="{00000000-0005-0000-0000-0000C8C70000}"/>
    <cellStyle name="SAPBEXstdItemX 4 2" xfId="50956" xr:uid="{00000000-0005-0000-0000-0000C9C70000}"/>
    <cellStyle name="SAPBEXstdItemX 4 2 2" xfId="50957" xr:uid="{00000000-0005-0000-0000-0000CAC70000}"/>
    <cellStyle name="SAPBEXstdItemX 4 2 2 2" xfId="50958" xr:uid="{00000000-0005-0000-0000-0000CBC70000}"/>
    <cellStyle name="SAPBEXstdItemX 4 2 2 2 2" xfId="50959" xr:uid="{00000000-0005-0000-0000-0000CCC70000}"/>
    <cellStyle name="SAPBEXstdItemX 4 2 2 2 2 2" xfId="50960" xr:uid="{00000000-0005-0000-0000-0000CDC70000}"/>
    <cellStyle name="SAPBEXstdItemX 4 2 2 2 3" xfId="50961" xr:uid="{00000000-0005-0000-0000-0000CEC70000}"/>
    <cellStyle name="SAPBEXstdItemX 4 2 2 3" xfId="50962" xr:uid="{00000000-0005-0000-0000-0000CFC70000}"/>
    <cellStyle name="SAPBEXstdItemX 4 2 2 3 2" xfId="50963" xr:uid="{00000000-0005-0000-0000-0000D0C70000}"/>
    <cellStyle name="SAPBEXstdItemX 4 2 2 4" xfId="50964" xr:uid="{00000000-0005-0000-0000-0000D1C70000}"/>
    <cellStyle name="SAPBEXstdItemX 4 2 3" xfId="50965" xr:uid="{00000000-0005-0000-0000-0000D2C70000}"/>
    <cellStyle name="SAPBEXstdItemX 4 2 3 2" xfId="50966" xr:uid="{00000000-0005-0000-0000-0000D3C70000}"/>
    <cellStyle name="SAPBEXstdItemX 4 2 3 2 2" xfId="50967" xr:uid="{00000000-0005-0000-0000-0000D4C70000}"/>
    <cellStyle name="SAPBEXstdItemX 4 2 3 3" xfId="50968" xr:uid="{00000000-0005-0000-0000-0000D5C70000}"/>
    <cellStyle name="SAPBEXstdItemX 4 2 4" xfId="50969" xr:uid="{00000000-0005-0000-0000-0000D6C70000}"/>
    <cellStyle name="SAPBEXstdItemX 4 2 4 2" xfId="50970" xr:uid="{00000000-0005-0000-0000-0000D7C70000}"/>
    <cellStyle name="SAPBEXstdItemX 4 2 4 2 2" xfId="50971" xr:uid="{00000000-0005-0000-0000-0000D8C70000}"/>
    <cellStyle name="SAPBEXstdItemX 4 2 4 3" xfId="50972" xr:uid="{00000000-0005-0000-0000-0000D9C70000}"/>
    <cellStyle name="SAPBEXstdItemX 4 2 5" xfId="50973" xr:uid="{00000000-0005-0000-0000-0000DAC70000}"/>
    <cellStyle name="SAPBEXstdItemX 4 2 5 2" xfId="50974" xr:uid="{00000000-0005-0000-0000-0000DBC70000}"/>
    <cellStyle name="SAPBEXstdItemX 4 2 5 2 2" xfId="50975" xr:uid="{00000000-0005-0000-0000-0000DCC70000}"/>
    <cellStyle name="SAPBEXstdItemX 4 2 5 3" xfId="50976" xr:uid="{00000000-0005-0000-0000-0000DDC70000}"/>
    <cellStyle name="SAPBEXstdItemX 4 2 6" xfId="50977" xr:uid="{00000000-0005-0000-0000-0000DEC70000}"/>
    <cellStyle name="SAPBEXstdItemX 4 2 6 2" xfId="50978" xr:uid="{00000000-0005-0000-0000-0000DFC70000}"/>
    <cellStyle name="SAPBEXstdItemX 4 2 7" xfId="50979" xr:uid="{00000000-0005-0000-0000-0000E0C70000}"/>
    <cellStyle name="SAPBEXstdItemX 4 3" xfId="50980" xr:uid="{00000000-0005-0000-0000-0000E1C70000}"/>
    <cellStyle name="SAPBEXstdItemX 4 3 2" xfId="50981" xr:uid="{00000000-0005-0000-0000-0000E2C70000}"/>
    <cellStyle name="SAPBEXstdItemX 4 3 2 2" xfId="50982" xr:uid="{00000000-0005-0000-0000-0000E3C70000}"/>
    <cellStyle name="SAPBEXstdItemX 4 3 2 2 2" xfId="50983" xr:uid="{00000000-0005-0000-0000-0000E4C70000}"/>
    <cellStyle name="SAPBEXstdItemX 4 3 2 2 2 2" xfId="50984" xr:uid="{00000000-0005-0000-0000-0000E5C70000}"/>
    <cellStyle name="SAPBEXstdItemX 4 3 2 2 2 2 2" xfId="50985" xr:uid="{00000000-0005-0000-0000-0000E6C70000}"/>
    <cellStyle name="SAPBEXstdItemX 4 3 2 2 2 3" xfId="50986" xr:uid="{00000000-0005-0000-0000-0000E7C70000}"/>
    <cellStyle name="SAPBEXstdItemX 4 3 2 2 3" xfId="50987" xr:uid="{00000000-0005-0000-0000-0000E8C70000}"/>
    <cellStyle name="SAPBEXstdItemX 4 3 2 2 3 2" xfId="50988" xr:uid="{00000000-0005-0000-0000-0000E9C70000}"/>
    <cellStyle name="SAPBEXstdItemX 4 3 2 2 4" xfId="50989" xr:uid="{00000000-0005-0000-0000-0000EAC70000}"/>
    <cellStyle name="SAPBEXstdItemX 4 3 2 3" xfId="50990" xr:uid="{00000000-0005-0000-0000-0000EBC70000}"/>
    <cellStyle name="SAPBEXstdItemX 4 3 2 3 2" xfId="50991" xr:uid="{00000000-0005-0000-0000-0000ECC70000}"/>
    <cellStyle name="SAPBEXstdItemX 4 3 2 3 2 2" xfId="50992" xr:uid="{00000000-0005-0000-0000-0000EDC70000}"/>
    <cellStyle name="SAPBEXstdItemX 4 3 2 3 3" xfId="50993" xr:uid="{00000000-0005-0000-0000-0000EEC70000}"/>
    <cellStyle name="SAPBEXstdItemX 4 3 2 4" xfId="50994" xr:uid="{00000000-0005-0000-0000-0000EFC70000}"/>
    <cellStyle name="SAPBEXstdItemX 4 3 2 4 2" xfId="50995" xr:uid="{00000000-0005-0000-0000-0000F0C70000}"/>
    <cellStyle name="SAPBEXstdItemX 4 3 2 4 2 2" xfId="50996" xr:uid="{00000000-0005-0000-0000-0000F1C70000}"/>
    <cellStyle name="SAPBEXstdItemX 4 3 2 4 3" xfId="50997" xr:uid="{00000000-0005-0000-0000-0000F2C70000}"/>
    <cellStyle name="SAPBEXstdItemX 4 3 2 5" xfId="50998" xr:uid="{00000000-0005-0000-0000-0000F3C70000}"/>
    <cellStyle name="SAPBEXstdItemX 4 3 2 5 2" xfId="50999" xr:uid="{00000000-0005-0000-0000-0000F4C70000}"/>
    <cellStyle name="SAPBEXstdItemX 4 3 2 6" xfId="51000" xr:uid="{00000000-0005-0000-0000-0000F5C70000}"/>
    <cellStyle name="SAPBEXstdItemX 4 3 3" xfId="51001" xr:uid="{00000000-0005-0000-0000-0000F6C70000}"/>
    <cellStyle name="SAPBEXstdItemX 4 3 3 2" xfId="51002" xr:uid="{00000000-0005-0000-0000-0000F7C70000}"/>
    <cellStyle name="SAPBEXstdItemX 4 3 3 2 2" xfId="51003" xr:uid="{00000000-0005-0000-0000-0000F8C70000}"/>
    <cellStyle name="SAPBEXstdItemX 4 3 3 2 2 2" xfId="51004" xr:uid="{00000000-0005-0000-0000-0000F9C70000}"/>
    <cellStyle name="SAPBEXstdItemX 4 3 3 2 2 2 2" xfId="51005" xr:uid="{00000000-0005-0000-0000-0000FAC70000}"/>
    <cellStyle name="SAPBEXstdItemX 4 3 3 2 2 3" xfId="51006" xr:uid="{00000000-0005-0000-0000-0000FBC70000}"/>
    <cellStyle name="SAPBEXstdItemX 4 3 3 2 3" xfId="51007" xr:uid="{00000000-0005-0000-0000-0000FCC70000}"/>
    <cellStyle name="SAPBEXstdItemX 4 3 3 2 3 2" xfId="51008" xr:uid="{00000000-0005-0000-0000-0000FDC70000}"/>
    <cellStyle name="SAPBEXstdItemX 4 3 3 2 4" xfId="51009" xr:uid="{00000000-0005-0000-0000-0000FEC70000}"/>
    <cellStyle name="SAPBEXstdItemX 4 3 3 3" xfId="51010" xr:uid="{00000000-0005-0000-0000-0000FFC70000}"/>
    <cellStyle name="SAPBEXstdItemX 4 3 3 3 2" xfId="51011" xr:uid="{00000000-0005-0000-0000-000000C80000}"/>
    <cellStyle name="SAPBEXstdItemX 4 3 3 3 2 2" xfId="51012" xr:uid="{00000000-0005-0000-0000-000001C80000}"/>
    <cellStyle name="SAPBEXstdItemX 4 3 3 3 3" xfId="51013" xr:uid="{00000000-0005-0000-0000-000002C80000}"/>
    <cellStyle name="SAPBEXstdItemX 4 3 3 4" xfId="51014" xr:uid="{00000000-0005-0000-0000-000003C80000}"/>
    <cellStyle name="SAPBEXstdItemX 4 3 3 4 2" xfId="51015" xr:uid="{00000000-0005-0000-0000-000004C80000}"/>
    <cellStyle name="SAPBEXstdItemX 4 3 3 5" xfId="51016" xr:uid="{00000000-0005-0000-0000-000005C80000}"/>
    <cellStyle name="SAPBEXstdItemX 4 3 4" xfId="51017" xr:uid="{00000000-0005-0000-0000-000006C80000}"/>
    <cellStyle name="SAPBEXstdItemX 4 3 4 2" xfId="51018" xr:uid="{00000000-0005-0000-0000-000007C80000}"/>
    <cellStyle name="SAPBEXstdItemX 4 3 4 2 2" xfId="51019" xr:uid="{00000000-0005-0000-0000-000008C80000}"/>
    <cellStyle name="SAPBEXstdItemX 4 3 4 3" xfId="51020" xr:uid="{00000000-0005-0000-0000-000009C80000}"/>
    <cellStyle name="SAPBEXstdItemX 4 3 5" xfId="51021" xr:uid="{00000000-0005-0000-0000-00000AC80000}"/>
    <cellStyle name="SAPBEXstdItemX 4 3 5 2" xfId="51022" xr:uid="{00000000-0005-0000-0000-00000BC80000}"/>
    <cellStyle name="SAPBEXstdItemX 4 3 5 2 2" xfId="51023" xr:uid="{00000000-0005-0000-0000-00000CC80000}"/>
    <cellStyle name="SAPBEXstdItemX 4 3 5 3" xfId="51024" xr:uid="{00000000-0005-0000-0000-00000DC80000}"/>
    <cellStyle name="SAPBEXstdItemX 4 3 6" xfId="51025" xr:uid="{00000000-0005-0000-0000-00000EC80000}"/>
    <cellStyle name="SAPBEXstdItemX 4 3 6 2" xfId="51026" xr:uid="{00000000-0005-0000-0000-00000FC80000}"/>
    <cellStyle name="SAPBEXstdItemX 4 3 6 2 2" xfId="51027" xr:uid="{00000000-0005-0000-0000-000010C80000}"/>
    <cellStyle name="SAPBEXstdItemX 4 3 6 3" xfId="51028" xr:uid="{00000000-0005-0000-0000-000011C80000}"/>
    <cellStyle name="SAPBEXstdItemX 4 3 7" xfId="51029" xr:uid="{00000000-0005-0000-0000-000012C80000}"/>
    <cellStyle name="SAPBEXstdItemX 4 3 7 2" xfId="51030" xr:uid="{00000000-0005-0000-0000-000013C80000}"/>
    <cellStyle name="SAPBEXstdItemX 4 3 8" xfId="51031" xr:uid="{00000000-0005-0000-0000-000014C80000}"/>
    <cellStyle name="SAPBEXstdItemX 4 4" xfId="51032" xr:uid="{00000000-0005-0000-0000-000015C80000}"/>
    <cellStyle name="SAPBEXstdItemX 4 4 2" xfId="51033" xr:uid="{00000000-0005-0000-0000-000016C80000}"/>
    <cellStyle name="SAPBEXstdItemX 4 4 2 2" xfId="51034" xr:uid="{00000000-0005-0000-0000-000017C80000}"/>
    <cellStyle name="SAPBEXstdItemX 4 4 2 2 2" xfId="51035" xr:uid="{00000000-0005-0000-0000-000018C80000}"/>
    <cellStyle name="SAPBEXstdItemX 4 4 2 2 2 2" xfId="51036" xr:uid="{00000000-0005-0000-0000-000019C80000}"/>
    <cellStyle name="SAPBEXstdItemX 4 4 2 2 3" xfId="51037" xr:uid="{00000000-0005-0000-0000-00001AC80000}"/>
    <cellStyle name="SAPBEXstdItemX 4 4 2 3" xfId="51038" xr:uid="{00000000-0005-0000-0000-00001BC80000}"/>
    <cellStyle name="SAPBEXstdItemX 4 4 2 3 2" xfId="51039" xr:uid="{00000000-0005-0000-0000-00001CC80000}"/>
    <cellStyle name="SAPBEXstdItemX 4 4 2 4" xfId="51040" xr:uid="{00000000-0005-0000-0000-00001DC80000}"/>
    <cellStyle name="SAPBEXstdItemX 4 4 3" xfId="51041" xr:uid="{00000000-0005-0000-0000-00001EC80000}"/>
    <cellStyle name="SAPBEXstdItemX 4 4 3 2" xfId="51042" xr:uid="{00000000-0005-0000-0000-00001FC80000}"/>
    <cellStyle name="SAPBEXstdItemX 4 4 3 2 2" xfId="51043" xr:uid="{00000000-0005-0000-0000-000020C80000}"/>
    <cellStyle name="SAPBEXstdItemX 4 4 3 3" xfId="51044" xr:uid="{00000000-0005-0000-0000-000021C80000}"/>
    <cellStyle name="SAPBEXstdItemX 4 4 4" xfId="51045" xr:uid="{00000000-0005-0000-0000-000022C80000}"/>
    <cellStyle name="SAPBEXstdItemX 4 4 4 2" xfId="51046" xr:uid="{00000000-0005-0000-0000-000023C80000}"/>
    <cellStyle name="SAPBEXstdItemX 4 4 5" xfId="51047" xr:uid="{00000000-0005-0000-0000-000024C80000}"/>
    <cellStyle name="SAPBEXstdItemX 4 5" xfId="51048" xr:uid="{00000000-0005-0000-0000-000025C80000}"/>
    <cellStyle name="SAPBEXstdItemX 4 5 2" xfId="51049" xr:uid="{00000000-0005-0000-0000-000026C80000}"/>
    <cellStyle name="SAPBEXstdItemX 4 5 2 2" xfId="51050" xr:uid="{00000000-0005-0000-0000-000027C80000}"/>
    <cellStyle name="SAPBEXstdItemX 4 5 3" xfId="51051" xr:uid="{00000000-0005-0000-0000-000028C80000}"/>
    <cellStyle name="SAPBEXstdItemX 4 6" xfId="51052" xr:uid="{00000000-0005-0000-0000-000029C80000}"/>
    <cellStyle name="SAPBEXstdItemX 4 6 2" xfId="51053" xr:uid="{00000000-0005-0000-0000-00002AC80000}"/>
    <cellStyle name="SAPBEXstdItemX 4 6 2 2" xfId="51054" xr:uid="{00000000-0005-0000-0000-00002BC80000}"/>
    <cellStyle name="SAPBEXstdItemX 4 6 3" xfId="51055" xr:uid="{00000000-0005-0000-0000-00002CC80000}"/>
    <cellStyle name="SAPBEXstdItemX 4 7" xfId="51056" xr:uid="{00000000-0005-0000-0000-00002DC80000}"/>
    <cellStyle name="SAPBEXstdItemX 4 7 2" xfId="51057" xr:uid="{00000000-0005-0000-0000-00002EC80000}"/>
    <cellStyle name="SAPBEXstdItemX 4 7 2 2" xfId="51058" xr:uid="{00000000-0005-0000-0000-00002FC80000}"/>
    <cellStyle name="SAPBEXstdItemX 4 7 3" xfId="51059" xr:uid="{00000000-0005-0000-0000-000030C80000}"/>
    <cellStyle name="SAPBEXstdItemX 4 8" xfId="51060" xr:uid="{00000000-0005-0000-0000-000031C80000}"/>
    <cellStyle name="SAPBEXstdItemX 4 8 2" xfId="51061" xr:uid="{00000000-0005-0000-0000-000032C80000}"/>
    <cellStyle name="SAPBEXstdItemX 4 9" xfId="51062" xr:uid="{00000000-0005-0000-0000-000033C80000}"/>
    <cellStyle name="SAPBEXstdItemX 5" xfId="51063" xr:uid="{00000000-0005-0000-0000-000034C80000}"/>
    <cellStyle name="SAPBEXstdItemX 5 2" xfId="51064" xr:uid="{00000000-0005-0000-0000-000035C80000}"/>
    <cellStyle name="SAPBEXstdItemX 5 2 2" xfId="51065" xr:uid="{00000000-0005-0000-0000-000036C80000}"/>
    <cellStyle name="SAPBEXstdItemX 5 2 2 2" xfId="51066" xr:uid="{00000000-0005-0000-0000-000037C80000}"/>
    <cellStyle name="SAPBEXstdItemX 5 2 2 2 2" xfId="51067" xr:uid="{00000000-0005-0000-0000-000038C80000}"/>
    <cellStyle name="SAPBEXstdItemX 5 2 2 3" xfId="51068" xr:uid="{00000000-0005-0000-0000-000039C80000}"/>
    <cellStyle name="SAPBEXstdItemX 5 2 3" xfId="51069" xr:uid="{00000000-0005-0000-0000-00003AC80000}"/>
    <cellStyle name="SAPBEXstdItemX 5 2 3 2" xfId="51070" xr:uid="{00000000-0005-0000-0000-00003BC80000}"/>
    <cellStyle name="SAPBEXstdItemX 5 2 4" xfId="51071" xr:uid="{00000000-0005-0000-0000-00003CC80000}"/>
    <cellStyle name="SAPBEXstdItemX 5 3" xfId="51072" xr:uid="{00000000-0005-0000-0000-00003DC80000}"/>
    <cellStyle name="SAPBEXstdItemX 5 3 2" xfId="51073" xr:uid="{00000000-0005-0000-0000-00003EC80000}"/>
    <cellStyle name="SAPBEXstdItemX 5 3 2 2" xfId="51074" xr:uid="{00000000-0005-0000-0000-00003FC80000}"/>
    <cellStyle name="SAPBEXstdItemX 5 3 3" xfId="51075" xr:uid="{00000000-0005-0000-0000-000040C80000}"/>
    <cellStyle name="SAPBEXstdItemX 5 4" xfId="51076" xr:uid="{00000000-0005-0000-0000-000041C80000}"/>
    <cellStyle name="SAPBEXstdItemX 5 4 2" xfId="51077" xr:uid="{00000000-0005-0000-0000-000042C80000}"/>
    <cellStyle name="SAPBEXstdItemX 5 4 2 2" xfId="51078" xr:uid="{00000000-0005-0000-0000-000043C80000}"/>
    <cellStyle name="SAPBEXstdItemX 5 4 3" xfId="51079" xr:uid="{00000000-0005-0000-0000-000044C80000}"/>
    <cellStyle name="SAPBEXstdItemX 5 5" xfId="51080" xr:uid="{00000000-0005-0000-0000-000045C80000}"/>
    <cellStyle name="SAPBEXstdItemX 5 5 2" xfId="51081" xr:uid="{00000000-0005-0000-0000-000046C80000}"/>
    <cellStyle name="SAPBEXstdItemX 5 5 2 2" xfId="51082" xr:uid="{00000000-0005-0000-0000-000047C80000}"/>
    <cellStyle name="SAPBEXstdItemX 5 5 3" xfId="51083" xr:uid="{00000000-0005-0000-0000-000048C80000}"/>
    <cellStyle name="SAPBEXstdItemX 5 6" xfId="51084" xr:uid="{00000000-0005-0000-0000-000049C80000}"/>
    <cellStyle name="SAPBEXstdItemX 5 6 2" xfId="51085" xr:uid="{00000000-0005-0000-0000-00004AC80000}"/>
    <cellStyle name="SAPBEXstdItemX 5 7" xfId="51086" xr:uid="{00000000-0005-0000-0000-00004BC80000}"/>
    <cellStyle name="SAPBEXstdItemX 6" xfId="51087" xr:uid="{00000000-0005-0000-0000-00004CC80000}"/>
    <cellStyle name="SAPBEXstdItemX 6 2" xfId="51088" xr:uid="{00000000-0005-0000-0000-00004DC80000}"/>
    <cellStyle name="SAPBEXstdItemX 6 2 2" xfId="51089" xr:uid="{00000000-0005-0000-0000-00004EC80000}"/>
    <cellStyle name="SAPBEXstdItemX 6 3" xfId="51090" xr:uid="{00000000-0005-0000-0000-00004FC80000}"/>
    <cellStyle name="SAPBEXstdItemX 6 3 2" xfId="51091" xr:uid="{00000000-0005-0000-0000-000050C80000}"/>
    <cellStyle name="SAPBEXstdItemX 6 3 2 2" xfId="51092" xr:uid="{00000000-0005-0000-0000-000051C80000}"/>
    <cellStyle name="SAPBEXstdItemX 6 3 3" xfId="51093" xr:uid="{00000000-0005-0000-0000-000052C80000}"/>
    <cellStyle name="SAPBEXstdItemX 6 4" xfId="51094" xr:uid="{00000000-0005-0000-0000-000053C80000}"/>
    <cellStyle name="SAPBEXstdItemX 6 4 2" xfId="51095" xr:uid="{00000000-0005-0000-0000-000054C80000}"/>
    <cellStyle name="SAPBEXstdItemX 6 4 2 2" xfId="51096" xr:uid="{00000000-0005-0000-0000-000055C80000}"/>
    <cellStyle name="SAPBEXstdItemX 6 4 3" xfId="51097" xr:uid="{00000000-0005-0000-0000-000056C80000}"/>
    <cellStyle name="SAPBEXstdItemX 6 5" xfId="51098" xr:uid="{00000000-0005-0000-0000-000057C80000}"/>
    <cellStyle name="SAPBEXstdItemX 7" xfId="51099" xr:uid="{00000000-0005-0000-0000-000058C80000}"/>
    <cellStyle name="SAPBEXstdItemX 7 2" xfId="51100" xr:uid="{00000000-0005-0000-0000-000059C80000}"/>
    <cellStyle name="SAPBEXstdItemX 7 2 2" xfId="51101" xr:uid="{00000000-0005-0000-0000-00005AC80000}"/>
    <cellStyle name="SAPBEXstdItemX 7 2 2 2" xfId="51102" xr:uid="{00000000-0005-0000-0000-00005BC80000}"/>
    <cellStyle name="SAPBEXstdItemX 7 2 3" xfId="51103" xr:uid="{00000000-0005-0000-0000-00005CC80000}"/>
    <cellStyle name="SAPBEXstdItemX 7 2 3 2" xfId="51104" xr:uid="{00000000-0005-0000-0000-00005DC80000}"/>
    <cellStyle name="SAPBEXstdItemX 7 2 3 2 2" xfId="51105" xr:uid="{00000000-0005-0000-0000-00005EC80000}"/>
    <cellStyle name="SAPBEXstdItemX 7 2 3 3" xfId="51106" xr:uid="{00000000-0005-0000-0000-00005FC80000}"/>
    <cellStyle name="SAPBEXstdItemX 7 2 4" xfId="51107" xr:uid="{00000000-0005-0000-0000-000060C80000}"/>
    <cellStyle name="SAPBEXstdItemX 7 3" xfId="51108" xr:uid="{00000000-0005-0000-0000-000061C80000}"/>
    <cellStyle name="SAPBEXstdItemX 7 3 2" xfId="51109" xr:uid="{00000000-0005-0000-0000-000062C80000}"/>
    <cellStyle name="SAPBEXstdItemX 7 3 2 2" xfId="51110" xr:uid="{00000000-0005-0000-0000-000063C80000}"/>
    <cellStyle name="SAPBEXstdItemX 7 3 3" xfId="51111" xr:uid="{00000000-0005-0000-0000-000064C80000}"/>
    <cellStyle name="SAPBEXstdItemX 7 4" xfId="51112" xr:uid="{00000000-0005-0000-0000-000065C80000}"/>
    <cellStyle name="SAPBEXstdItemX 7 4 2" xfId="51113" xr:uid="{00000000-0005-0000-0000-000066C80000}"/>
    <cellStyle name="SAPBEXstdItemX 7 4 2 2" xfId="51114" xr:uid="{00000000-0005-0000-0000-000067C80000}"/>
    <cellStyle name="SAPBEXstdItemX 7 4 3" xfId="51115" xr:uid="{00000000-0005-0000-0000-000068C80000}"/>
    <cellStyle name="SAPBEXstdItemX 7 5" xfId="51116" xr:uid="{00000000-0005-0000-0000-000069C80000}"/>
    <cellStyle name="SAPBEXstdItemX 7 5 2" xfId="51117" xr:uid="{00000000-0005-0000-0000-00006AC80000}"/>
    <cellStyle name="SAPBEXstdItemX 7 5 2 2" xfId="51118" xr:uid="{00000000-0005-0000-0000-00006BC80000}"/>
    <cellStyle name="SAPBEXstdItemX 7 5 3" xfId="51119" xr:uid="{00000000-0005-0000-0000-00006CC80000}"/>
    <cellStyle name="SAPBEXstdItemX 7 6" xfId="51120" xr:uid="{00000000-0005-0000-0000-00006DC80000}"/>
    <cellStyle name="SAPBEXstdItemX 8" xfId="51121" xr:uid="{00000000-0005-0000-0000-00006EC80000}"/>
    <cellStyle name="SAPBEXstdItemX 8 2" xfId="51122" xr:uid="{00000000-0005-0000-0000-00006FC80000}"/>
    <cellStyle name="SAPBEXstdItemX 8 2 2" xfId="51123" xr:uid="{00000000-0005-0000-0000-000070C80000}"/>
    <cellStyle name="SAPBEXstdItemX 8 3" xfId="51124" xr:uid="{00000000-0005-0000-0000-000071C80000}"/>
    <cellStyle name="SAPBEXstdItemX 9" xfId="51125" xr:uid="{00000000-0005-0000-0000-000072C80000}"/>
    <cellStyle name="SAPBEXstdItemX 9 2" xfId="51126" xr:uid="{00000000-0005-0000-0000-000073C80000}"/>
    <cellStyle name="SAPBEXstdItemX 9 2 2" xfId="51127" xr:uid="{00000000-0005-0000-0000-000074C80000}"/>
    <cellStyle name="SAPBEXstdItemX 9 3" xfId="51128" xr:uid="{00000000-0005-0000-0000-000075C80000}"/>
    <cellStyle name="SAPBEXtitle" xfId="77" xr:uid="{00000000-0005-0000-0000-000076C80000}"/>
    <cellStyle name="SAPBEXtitle 10" xfId="51129" xr:uid="{00000000-0005-0000-0000-000077C80000}"/>
    <cellStyle name="SAPBEXtitle 10 2" xfId="51130" xr:uid="{00000000-0005-0000-0000-000078C80000}"/>
    <cellStyle name="SAPBEXtitle 11" xfId="51131" xr:uid="{00000000-0005-0000-0000-000079C80000}"/>
    <cellStyle name="SAPBEXtitle 11 2" xfId="51132" xr:uid="{00000000-0005-0000-0000-00007AC80000}"/>
    <cellStyle name="SAPBEXtitle 12" xfId="51133" xr:uid="{00000000-0005-0000-0000-00007BC80000}"/>
    <cellStyle name="SAPBEXtitle 2" xfId="51134" xr:uid="{00000000-0005-0000-0000-00007CC80000}"/>
    <cellStyle name="SAPBEXtitle 2 2" xfId="51135" xr:uid="{00000000-0005-0000-0000-00007DC80000}"/>
    <cellStyle name="SAPBEXtitle 2 2 2" xfId="51136" xr:uid="{00000000-0005-0000-0000-00007EC80000}"/>
    <cellStyle name="SAPBEXtitle 2 2 2 2" xfId="51137" xr:uid="{00000000-0005-0000-0000-00007FC80000}"/>
    <cellStyle name="SAPBEXtitle 2 2 2 2 2" xfId="51138" xr:uid="{00000000-0005-0000-0000-000080C80000}"/>
    <cellStyle name="SAPBEXtitle 2 2 2 2 2 2" xfId="51139" xr:uid="{00000000-0005-0000-0000-000081C80000}"/>
    <cellStyle name="SAPBEXtitle 2 2 2 2 3" xfId="51140" xr:uid="{00000000-0005-0000-0000-000082C80000}"/>
    <cellStyle name="SAPBEXtitle 2 2 2 3" xfId="51141" xr:uid="{00000000-0005-0000-0000-000083C80000}"/>
    <cellStyle name="SAPBEXtitle 2 2 2 3 2" xfId="51142" xr:uid="{00000000-0005-0000-0000-000084C80000}"/>
    <cellStyle name="SAPBEXtitle 2 2 2 4" xfId="51143" xr:uid="{00000000-0005-0000-0000-000085C80000}"/>
    <cellStyle name="SAPBEXtitle 2 2 3" xfId="51144" xr:uid="{00000000-0005-0000-0000-000086C80000}"/>
    <cellStyle name="SAPBEXtitle 2 2 3 2" xfId="51145" xr:uid="{00000000-0005-0000-0000-000087C80000}"/>
    <cellStyle name="SAPBEXtitle 2 2 3 2 2" xfId="51146" xr:uid="{00000000-0005-0000-0000-000088C80000}"/>
    <cellStyle name="SAPBEXtitle 2 2 3 3" xfId="51147" xr:uid="{00000000-0005-0000-0000-000089C80000}"/>
    <cellStyle name="SAPBEXtitle 2 2 4" xfId="51148" xr:uid="{00000000-0005-0000-0000-00008AC80000}"/>
    <cellStyle name="SAPBEXtitle 2 2 4 2" xfId="51149" xr:uid="{00000000-0005-0000-0000-00008BC80000}"/>
    <cellStyle name="SAPBEXtitle 2 2 4 2 2" xfId="51150" xr:uid="{00000000-0005-0000-0000-00008CC80000}"/>
    <cellStyle name="SAPBEXtitle 2 2 4 3" xfId="51151" xr:uid="{00000000-0005-0000-0000-00008DC80000}"/>
    <cellStyle name="SAPBEXtitle 2 2 5" xfId="51152" xr:uid="{00000000-0005-0000-0000-00008EC80000}"/>
    <cellStyle name="SAPBEXtitle 2 2 5 2" xfId="51153" xr:uid="{00000000-0005-0000-0000-00008FC80000}"/>
    <cellStyle name="SAPBEXtitle 2 2 6" xfId="51154" xr:uid="{00000000-0005-0000-0000-000090C80000}"/>
    <cellStyle name="SAPBEXtitle 2 3" xfId="51155" xr:uid="{00000000-0005-0000-0000-000091C80000}"/>
    <cellStyle name="SAPBEXtitle 2 4" xfId="51156" xr:uid="{00000000-0005-0000-0000-000092C80000}"/>
    <cellStyle name="SAPBEXtitle 2 4 2" xfId="51157" xr:uid="{00000000-0005-0000-0000-000093C80000}"/>
    <cellStyle name="SAPBEXtitle 2 4 2 2" xfId="51158" xr:uid="{00000000-0005-0000-0000-000094C80000}"/>
    <cellStyle name="SAPBEXtitle 2 4 3" xfId="51159" xr:uid="{00000000-0005-0000-0000-000095C80000}"/>
    <cellStyle name="SAPBEXtitle 2 5" xfId="51160" xr:uid="{00000000-0005-0000-0000-000096C80000}"/>
    <cellStyle name="SAPBEXtitle 2 5 2" xfId="51161" xr:uid="{00000000-0005-0000-0000-000097C80000}"/>
    <cellStyle name="SAPBEXtitle 2 5 2 2" xfId="51162" xr:uid="{00000000-0005-0000-0000-000098C80000}"/>
    <cellStyle name="SAPBEXtitle 2 5 3" xfId="51163" xr:uid="{00000000-0005-0000-0000-000099C80000}"/>
    <cellStyle name="SAPBEXtitle 3" xfId="51164" xr:uid="{00000000-0005-0000-0000-00009AC80000}"/>
    <cellStyle name="SAPBEXtitle 3 2" xfId="51165" xr:uid="{00000000-0005-0000-0000-00009BC80000}"/>
    <cellStyle name="SAPBEXtitle 3 2 2" xfId="51166" xr:uid="{00000000-0005-0000-0000-00009CC80000}"/>
    <cellStyle name="SAPBEXtitle 3 3" xfId="51167" xr:uid="{00000000-0005-0000-0000-00009DC80000}"/>
    <cellStyle name="SAPBEXtitle 3 3 2" xfId="51168" xr:uid="{00000000-0005-0000-0000-00009EC80000}"/>
    <cellStyle name="SAPBEXtitle 3 3 2 2" xfId="51169" xr:uid="{00000000-0005-0000-0000-00009FC80000}"/>
    <cellStyle name="SAPBEXtitle 3 3 3" xfId="51170" xr:uid="{00000000-0005-0000-0000-0000A0C80000}"/>
    <cellStyle name="SAPBEXtitle 3 4" xfId="51171" xr:uid="{00000000-0005-0000-0000-0000A1C80000}"/>
    <cellStyle name="SAPBEXtitle 3 4 2" xfId="51172" xr:uid="{00000000-0005-0000-0000-0000A2C80000}"/>
    <cellStyle name="SAPBEXtitle 3 4 2 2" xfId="51173" xr:uid="{00000000-0005-0000-0000-0000A3C80000}"/>
    <cellStyle name="SAPBEXtitle 3 4 3" xfId="51174" xr:uid="{00000000-0005-0000-0000-0000A4C80000}"/>
    <cellStyle name="SAPBEXtitle 3 5" xfId="51175" xr:uid="{00000000-0005-0000-0000-0000A5C80000}"/>
    <cellStyle name="SAPBEXtitle 4" xfId="51176" xr:uid="{00000000-0005-0000-0000-0000A6C80000}"/>
    <cellStyle name="SAPBEXtitle 4 2" xfId="51177" xr:uid="{00000000-0005-0000-0000-0000A7C80000}"/>
    <cellStyle name="SAPBEXtitle 4 2 2" xfId="51178" xr:uid="{00000000-0005-0000-0000-0000A8C80000}"/>
    <cellStyle name="SAPBEXtitle 4 2 2 2" xfId="51179" xr:uid="{00000000-0005-0000-0000-0000A9C80000}"/>
    <cellStyle name="SAPBEXtitle 4 2 3" xfId="51180" xr:uid="{00000000-0005-0000-0000-0000AAC80000}"/>
    <cellStyle name="SAPBEXtitle 4 2 3 2" xfId="51181" xr:uid="{00000000-0005-0000-0000-0000ABC80000}"/>
    <cellStyle name="SAPBEXtitle 4 2 3 2 2" xfId="51182" xr:uid="{00000000-0005-0000-0000-0000ACC80000}"/>
    <cellStyle name="SAPBEXtitle 4 2 3 3" xfId="51183" xr:uid="{00000000-0005-0000-0000-0000ADC80000}"/>
    <cellStyle name="SAPBEXtitle 4 2 4" xfId="51184" xr:uid="{00000000-0005-0000-0000-0000AEC80000}"/>
    <cellStyle name="SAPBEXtitle 4 3" xfId="51185" xr:uid="{00000000-0005-0000-0000-0000AFC80000}"/>
    <cellStyle name="SAPBEXtitle 4 3 2" xfId="51186" xr:uid="{00000000-0005-0000-0000-0000B0C80000}"/>
    <cellStyle name="SAPBEXtitle 4 3 2 2" xfId="51187" xr:uid="{00000000-0005-0000-0000-0000B1C80000}"/>
    <cellStyle name="SAPBEXtitle 4 3 3" xfId="51188" xr:uid="{00000000-0005-0000-0000-0000B2C80000}"/>
    <cellStyle name="SAPBEXtitle 4 4" xfId="51189" xr:uid="{00000000-0005-0000-0000-0000B3C80000}"/>
    <cellStyle name="SAPBEXtitle 4 4 2" xfId="51190" xr:uid="{00000000-0005-0000-0000-0000B4C80000}"/>
    <cellStyle name="SAPBEXtitle 4 4 2 2" xfId="51191" xr:uid="{00000000-0005-0000-0000-0000B5C80000}"/>
    <cellStyle name="SAPBEXtitle 4 4 3" xfId="51192" xr:uid="{00000000-0005-0000-0000-0000B6C80000}"/>
    <cellStyle name="SAPBEXtitle 4 5" xfId="51193" xr:uid="{00000000-0005-0000-0000-0000B7C80000}"/>
    <cellStyle name="SAPBEXtitle 4 5 2" xfId="51194" xr:uid="{00000000-0005-0000-0000-0000B8C80000}"/>
    <cellStyle name="SAPBEXtitle 4 5 2 2" xfId="51195" xr:uid="{00000000-0005-0000-0000-0000B9C80000}"/>
    <cellStyle name="SAPBEXtitle 4 5 3" xfId="51196" xr:uid="{00000000-0005-0000-0000-0000BAC80000}"/>
    <cellStyle name="SAPBEXtitle 4 6" xfId="51197" xr:uid="{00000000-0005-0000-0000-0000BBC80000}"/>
    <cellStyle name="SAPBEXtitle 5" xfId="51198" xr:uid="{00000000-0005-0000-0000-0000BCC80000}"/>
    <cellStyle name="SAPBEXtitle 5 2" xfId="51199" xr:uid="{00000000-0005-0000-0000-0000BDC80000}"/>
    <cellStyle name="SAPBEXtitle 5 2 2" xfId="51200" xr:uid="{00000000-0005-0000-0000-0000BEC80000}"/>
    <cellStyle name="SAPBEXtitle 5 3" xfId="51201" xr:uid="{00000000-0005-0000-0000-0000BFC80000}"/>
    <cellStyle name="SAPBEXtitle 6" xfId="51202" xr:uid="{00000000-0005-0000-0000-0000C0C80000}"/>
    <cellStyle name="SAPBEXtitle 6 2" xfId="51203" xr:uid="{00000000-0005-0000-0000-0000C1C80000}"/>
    <cellStyle name="SAPBEXtitle 6 2 2" xfId="51204" xr:uid="{00000000-0005-0000-0000-0000C2C80000}"/>
    <cellStyle name="SAPBEXtitle 6 3" xfId="51205" xr:uid="{00000000-0005-0000-0000-0000C3C80000}"/>
    <cellStyle name="SAPBEXtitle 7" xfId="51206" xr:uid="{00000000-0005-0000-0000-0000C4C80000}"/>
    <cellStyle name="SAPBEXtitle 7 2" xfId="51207" xr:uid="{00000000-0005-0000-0000-0000C5C80000}"/>
    <cellStyle name="SAPBEXtitle 7 2 2" xfId="51208" xr:uid="{00000000-0005-0000-0000-0000C6C80000}"/>
    <cellStyle name="SAPBEXtitle 7 3" xfId="51209" xr:uid="{00000000-0005-0000-0000-0000C7C80000}"/>
    <cellStyle name="SAPBEXtitle 8" xfId="51210" xr:uid="{00000000-0005-0000-0000-0000C8C80000}"/>
    <cellStyle name="SAPBEXtitle 8 2" xfId="51211" xr:uid="{00000000-0005-0000-0000-0000C9C80000}"/>
    <cellStyle name="SAPBEXtitle 9" xfId="51212" xr:uid="{00000000-0005-0000-0000-0000CAC80000}"/>
    <cellStyle name="SAPBEXtitle 9 2" xfId="51213" xr:uid="{00000000-0005-0000-0000-0000CBC80000}"/>
    <cellStyle name="SAPBEXunassignedItem" xfId="51214" xr:uid="{00000000-0005-0000-0000-0000CCC80000}"/>
    <cellStyle name="SAPBEXunassignedItem 10" xfId="51215" xr:uid="{00000000-0005-0000-0000-0000CDC80000}"/>
    <cellStyle name="SAPBEXunassignedItem 11" xfId="51216" xr:uid="{00000000-0005-0000-0000-0000CEC80000}"/>
    <cellStyle name="SAPBEXunassignedItem 2" xfId="51217" xr:uid="{00000000-0005-0000-0000-0000CFC80000}"/>
    <cellStyle name="SAPBEXunassignedItem 2 2" xfId="51218" xr:uid="{00000000-0005-0000-0000-0000D0C80000}"/>
    <cellStyle name="SAPBEXunassignedItem 2 2 2" xfId="51219" xr:uid="{00000000-0005-0000-0000-0000D1C80000}"/>
    <cellStyle name="SAPBEXunassignedItem 2 2 2 2" xfId="51220" xr:uid="{00000000-0005-0000-0000-0000D2C80000}"/>
    <cellStyle name="SAPBEXunassignedItem 2 2 3" xfId="51221" xr:uid="{00000000-0005-0000-0000-0000D3C80000}"/>
    <cellStyle name="SAPBEXunassignedItem 2 2 3 2" xfId="51222" xr:uid="{00000000-0005-0000-0000-0000D4C80000}"/>
    <cellStyle name="SAPBEXunassignedItem 2 2 3 2 2" xfId="51223" xr:uid="{00000000-0005-0000-0000-0000D5C80000}"/>
    <cellStyle name="SAPBEXunassignedItem 2 2 3 3" xfId="51224" xr:uid="{00000000-0005-0000-0000-0000D6C80000}"/>
    <cellStyle name="SAPBEXunassignedItem 2 2 4" xfId="51225" xr:uid="{00000000-0005-0000-0000-0000D7C80000}"/>
    <cellStyle name="SAPBEXunassignedItem 2 2 4 2" xfId="51226" xr:uid="{00000000-0005-0000-0000-0000D8C80000}"/>
    <cellStyle name="SAPBEXunassignedItem 2 2 4 2 2" xfId="51227" xr:uid="{00000000-0005-0000-0000-0000D9C80000}"/>
    <cellStyle name="SAPBEXunassignedItem 2 2 4 3" xfId="51228" xr:uid="{00000000-0005-0000-0000-0000DAC80000}"/>
    <cellStyle name="SAPBEXunassignedItem 2 2 5" xfId="51229" xr:uid="{00000000-0005-0000-0000-0000DBC80000}"/>
    <cellStyle name="SAPBEXunassignedItem 2 3" xfId="51230" xr:uid="{00000000-0005-0000-0000-0000DCC80000}"/>
    <cellStyle name="SAPBEXunassignedItem 2 3 2" xfId="51231" xr:uid="{00000000-0005-0000-0000-0000DDC80000}"/>
    <cellStyle name="SAPBEXunassignedItem 2 3 2 2" xfId="51232" xr:uid="{00000000-0005-0000-0000-0000DEC80000}"/>
    <cellStyle name="SAPBEXunassignedItem 2 3 2 2 2" xfId="51233" xr:uid="{00000000-0005-0000-0000-0000DFC80000}"/>
    <cellStyle name="SAPBEXunassignedItem 2 3 2 3" xfId="51234" xr:uid="{00000000-0005-0000-0000-0000E0C80000}"/>
    <cellStyle name="SAPBEXunassignedItem 2 3 2 3 2" xfId="51235" xr:uid="{00000000-0005-0000-0000-0000E1C80000}"/>
    <cellStyle name="SAPBEXunassignedItem 2 3 2 3 2 2" xfId="51236" xr:uid="{00000000-0005-0000-0000-0000E2C80000}"/>
    <cellStyle name="SAPBEXunassignedItem 2 3 2 3 3" xfId="51237" xr:uid="{00000000-0005-0000-0000-0000E3C80000}"/>
    <cellStyle name="SAPBEXunassignedItem 2 3 2 4" xfId="51238" xr:uid="{00000000-0005-0000-0000-0000E4C80000}"/>
    <cellStyle name="SAPBEXunassignedItem 2 3 3" xfId="51239" xr:uid="{00000000-0005-0000-0000-0000E5C80000}"/>
    <cellStyle name="SAPBEXunassignedItem 2 3 3 2" xfId="51240" xr:uid="{00000000-0005-0000-0000-0000E6C80000}"/>
    <cellStyle name="SAPBEXunassignedItem 2 3 3 2 2" xfId="51241" xr:uid="{00000000-0005-0000-0000-0000E7C80000}"/>
    <cellStyle name="SAPBEXunassignedItem 2 3 3 3" xfId="51242" xr:uid="{00000000-0005-0000-0000-0000E8C80000}"/>
    <cellStyle name="SAPBEXunassignedItem 2 3 4" xfId="51243" xr:uid="{00000000-0005-0000-0000-0000E9C80000}"/>
    <cellStyle name="SAPBEXunassignedItem 2 3 4 2" xfId="51244" xr:uid="{00000000-0005-0000-0000-0000EAC80000}"/>
    <cellStyle name="SAPBEXunassignedItem 2 3 4 2 2" xfId="51245" xr:uid="{00000000-0005-0000-0000-0000EBC80000}"/>
    <cellStyle name="SAPBEXunassignedItem 2 3 4 3" xfId="51246" xr:uid="{00000000-0005-0000-0000-0000ECC80000}"/>
    <cellStyle name="SAPBEXunassignedItem 2 3 5" xfId="51247" xr:uid="{00000000-0005-0000-0000-0000EDC80000}"/>
    <cellStyle name="SAPBEXunassignedItem 2 3 5 2" xfId="51248" xr:uid="{00000000-0005-0000-0000-0000EEC80000}"/>
    <cellStyle name="SAPBEXunassignedItem 2 3 5 2 2" xfId="51249" xr:uid="{00000000-0005-0000-0000-0000EFC80000}"/>
    <cellStyle name="SAPBEXunassignedItem 2 3 5 3" xfId="51250" xr:uid="{00000000-0005-0000-0000-0000F0C80000}"/>
    <cellStyle name="SAPBEXunassignedItem 2 3 6" xfId="51251" xr:uid="{00000000-0005-0000-0000-0000F1C80000}"/>
    <cellStyle name="SAPBEXunassignedItem 2 4" xfId="51252" xr:uid="{00000000-0005-0000-0000-0000F2C80000}"/>
    <cellStyle name="SAPBEXunassignedItem 2 4 2" xfId="51253" xr:uid="{00000000-0005-0000-0000-0000F3C80000}"/>
    <cellStyle name="SAPBEXunassignedItem 2 4 2 2" xfId="51254" xr:uid="{00000000-0005-0000-0000-0000F4C80000}"/>
    <cellStyle name="SAPBEXunassignedItem 2 4 3" xfId="51255" xr:uid="{00000000-0005-0000-0000-0000F5C80000}"/>
    <cellStyle name="SAPBEXunassignedItem 2 5" xfId="51256" xr:uid="{00000000-0005-0000-0000-0000F6C80000}"/>
    <cellStyle name="SAPBEXunassignedItem 2 5 2" xfId="51257" xr:uid="{00000000-0005-0000-0000-0000F7C80000}"/>
    <cellStyle name="SAPBEXunassignedItem 2 5 2 2" xfId="51258" xr:uid="{00000000-0005-0000-0000-0000F8C80000}"/>
    <cellStyle name="SAPBEXunassignedItem 2 5 3" xfId="51259" xr:uid="{00000000-0005-0000-0000-0000F9C80000}"/>
    <cellStyle name="SAPBEXunassignedItem 2 6" xfId="51260" xr:uid="{00000000-0005-0000-0000-0000FAC80000}"/>
    <cellStyle name="SAPBEXunassignedItem 2 6 2" xfId="51261" xr:uid="{00000000-0005-0000-0000-0000FBC80000}"/>
    <cellStyle name="SAPBEXunassignedItem 2 6 2 2" xfId="51262" xr:uid="{00000000-0005-0000-0000-0000FCC80000}"/>
    <cellStyle name="SAPBEXunassignedItem 2 6 3" xfId="51263" xr:uid="{00000000-0005-0000-0000-0000FDC80000}"/>
    <cellStyle name="SAPBEXunassignedItem 2 7" xfId="51264" xr:uid="{00000000-0005-0000-0000-0000FEC80000}"/>
    <cellStyle name="SAPBEXunassignedItem 3" xfId="51265" xr:uid="{00000000-0005-0000-0000-0000FFC80000}"/>
    <cellStyle name="SAPBEXunassignedItem 3 2" xfId="51266" xr:uid="{00000000-0005-0000-0000-000000C90000}"/>
    <cellStyle name="SAPBEXunassignedItem 3 2 2" xfId="51267" xr:uid="{00000000-0005-0000-0000-000001C90000}"/>
    <cellStyle name="SAPBEXunassignedItem 3 2 2 2" xfId="51268" xr:uid="{00000000-0005-0000-0000-000002C90000}"/>
    <cellStyle name="SAPBEXunassignedItem 3 2 3" xfId="51269" xr:uid="{00000000-0005-0000-0000-000003C90000}"/>
    <cellStyle name="SAPBEXunassignedItem 3 2 3 2" xfId="51270" xr:uid="{00000000-0005-0000-0000-000004C90000}"/>
    <cellStyle name="SAPBEXunassignedItem 3 2 3 2 2" xfId="51271" xr:uid="{00000000-0005-0000-0000-000005C90000}"/>
    <cellStyle name="SAPBEXunassignedItem 3 2 3 3" xfId="51272" xr:uid="{00000000-0005-0000-0000-000006C90000}"/>
    <cellStyle name="SAPBEXunassignedItem 3 2 4" xfId="51273" xr:uid="{00000000-0005-0000-0000-000007C90000}"/>
    <cellStyle name="SAPBEXunassignedItem 3 2 4 2" xfId="51274" xr:uid="{00000000-0005-0000-0000-000008C90000}"/>
    <cellStyle name="SAPBEXunassignedItem 3 2 4 2 2" xfId="51275" xr:uid="{00000000-0005-0000-0000-000009C90000}"/>
    <cellStyle name="SAPBEXunassignedItem 3 2 4 3" xfId="51276" xr:uid="{00000000-0005-0000-0000-00000AC90000}"/>
    <cellStyle name="SAPBEXunassignedItem 3 2 5" xfId="51277" xr:uid="{00000000-0005-0000-0000-00000BC90000}"/>
    <cellStyle name="SAPBEXunassignedItem 3 3" xfId="51278" xr:uid="{00000000-0005-0000-0000-00000CC90000}"/>
    <cellStyle name="SAPBEXunassignedItem 3 3 2" xfId="51279" xr:uid="{00000000-0005-0000-0000-00000DC90000}"/>
    <cellStyle name="SAPBEXunassignedItem 3 3 2 2" xfId="51280" xr:uid="{00000000-0005-0000-0000-00000EC90000}"/>
    <cellStyle name="SAPBEXunassignedItem 3 3 3" xfId="51281" xr:uid="{00000000-0005-0000-0000-00000FC90000}"/>
    <cellStyle name="SAPBEXunassignedItem 3 4" xfId="51282" xr:uid="{00000000-0005-0000-0000-000010C90000}"/>
    <cellStyle name="SAPBEXunassignedItem 3 4 2" xfId="51283" xr:uid="{00000000-0005-0000-0000-000011C90000}"/>
    <cellStyle name="SAPBEXunassignedItem 3 4 2 2" xfId="51284" xr:uid="{00000000-0005-0000-0000-000012C90000}"/>
    <cellStyle name="SAPBEXunassignedItem 3 4 3" xfId="51285" xr:uid="{00000000-0005-0000-0000-000013C90000}"/>
    <cellStyle name="SAPBEXunassignedItem 3 5" xfId="51286" xr:uid="{00000000-0005-0000-0000-000014C90000}"/>
    <cellStyle name="SAPBEXunassignedItem 3 5 2" xfId="51287" xr:uid="{00000000-0005-0000-0000-000015C90000}"/>
    <cellStyle name="SAPBEXunassignedItem 3 5 2 2" xfId="51288" xr:uid="{00000000-0005-0000-0000-000016C90000}"/>
    <cellStyle name="SAPBEXunassignedItem 3 5 3" xfId="51289" xr:uid="{00000000-0005-0000-0000-000017C90000}"/>
    <cellStyle name="SAPBEXunassignedItem 3 6" xfId="51290" xr:uid="{00000000-0005-0000-0000-000018C90000}"/>
    <cellStyle name="SAPBEXunassignedItem 4" xfId="51291" xr:uid="{00000000-0005-0000-0000-000019C90000}"/>
    <cellStyle name="SAPBEXunassignedItem 4 2" xfId="51292" xr:uid="{00000000-0005-0000-0000-00001AC90000}"/>
    <cellStyle name="SAPBEXunassignedItem 4 2 2" xfId="51293" xr:uid="{00000000-0005-0000-0000-00001BC90000}"/>
    <cellStyle name="SAPBEXunassignedItem 4 3" xfId="51294" xr:uid="{00000000-0005-0000-0000-00001CC90000}"/>
    <cellStyle name="SAPBEXunassignedItem 4 3 2" xfId="51295" xr:uid="{00000000-0005-0000-0000-00001DC90000}"/>
    <cellStyle name="SAPBEXunassignedItem 4 3 2 2" xfId="51296" xr:uid="{00000000-0005-0000-0000-00001EC90000}"/>
    <cellStyle name="SAPBEXunassignedItem 4 3 3" xfId="51297" xr:uid="{00000000-0005-0000-0000-00001FC90000}"/>
    <cellStyle name="SAPBEXunassignedItem 4 4" xfId="51298" xr:uid="{00000000-0005-0000-0000-000020C90000}"/>
    <cellStyle name="SAPBEXunassignedItem 4 4 2" xfId="51299" xr:uid="{00000000-0005-0000-0000-000021C90000}"/>
    <cellStyle name="SAPBEXunassignedItem 4 4 2 2" xfId="51300" xr:uid="{00000000-0005-0000-0000-000022C90000}"/>
    <cellStyle name="SAPBEXunassignedItem 4 4 3" xfId="51301" xr:uid="{00000000-0005-0000-0000-000023C90000}"/>
    <cellStyle name="SAPBEXunassignedItem 4 5" xfId="51302" xr:uid="{00000000-0005-0000-0000-000024C90000}"/>
    <cellStyle name="SAPBEXunassignedItem 5" xfId="51303" xr:uid="{00000000-0005-0000-0000-000025C90000}"/>
    <cellStyle name="SAPBEXunassignedItem 5 2" xfId="51304" xr:uid="{00000000-0005-0000-0000-000026C90000}"/>
    <cellStyle name="SAPBEXunassignedItem 5 2 2" xfId="51305" xr:uid="{00000000-0005-0000-0000-000027C90000}"/>
    <cellStyle name="SAPBEXunassignedItem 5 3" xfId="51306" xr:uid="{00000000-0005-0000-0000-000028C90000}"/>
    <cellStyle name="SAPBEXunassignedItem 6" xfId="51307" xr:uid="{00000000-0005-0000-0000-000029C90000}"/>
    <cellStyle name="SAPBEXunassignedItem 6 2" xfId="51308" xr:uid="{00000000-0005-0000-0000-00002AC90000}"/>
    <cellStyle name="SAPBEXunassignedItem 6 2 2" xfId="51309" xr:uid="{00000000-0005-0000-0000-00002BC90000}"/>
    <cellStyle name="SAPBEXunassignedItem 6 3" xfId="51310" xr:uid="{00000000-0005-0000-0000-00002CC90000}"/>
    <cellStyle name="SAPBEXunassignedItem 7" xfId="51311" xr:uid="{00000000-0005-0000-0000-00002DC90000}"/>
    <cellStyle name="SAPBEXunassignedItem 7 2" xfId="51312" xr:uid="{00000000-0005-0000-0000-00002EC90000}"/>
    <cellStyle name="SAPBEXunassignedItem 7 2 2" xfId="51313" xr:uid="{00000000-0005-0000-0000-00002FC90000}"/>
    <cellStyle name="SAPBEXunassignedItem 7 3" xfId="51314" xr:uid="{00000000-0005-0000-0000-000030C90000}"/>
    <cellStyle name="SAPBEXunassignedItem 8" xfId="51315" xr:uid="{00000000-0005-0000-0000-000031C90000}"/>
    <cellStyle name="SAPBEXunassignedItem 8 2" xfId="51316" xr:uid="{00000000-0005-0000-0000-000032C90000}"/>
    <cellStyle name="SAPBEXunassignedItem 9" xfId="51317" xr:uid="{00000000-0005-0000-0000-000033C90000}"/>
    <cellStyle name="SAPBEXunassignedItem 9 2" xfId="51318" xr:uid="{00000000-0005-0000-0000-000034C90000}"/>
    <cellStyle name="SAPBEXundefined" xfId="78" xr:uid="{00000000-0005-0000-0000-000035C90000}"/>
    <cellStyle name="SAPBEXundefined 10" xfId="51319" xr:uid="{00000000-0005-0000-0000-000036C90000}"/>
    <cellStyle name="SAPBEXundefined 10 2" xfId="51320" xr:uid="{00000000-0005-0000-0000-000037C90000}"/>
    <cellStyle name="SAPBEXundefined 11" xfId="51321" xr:uid="{00000000-0005-0000-0000-000038C90000}"/>
    <cellStyle name="SAPBEXundefined 11 2" xfId="51322" xr:uid="{00000000-0005-0000-0000-000039C90000}"/>
    <cellStyle name="SAPBEXundefined 12" xfId="51323" xr:uid="{00000000-0005-0000-0000-00003AC90000}"/>
    <cellStyle name="SAPBEXundefined 13" xfId="51324" xr:uid="{00000000-0005-0000-0000-00003BC90000}"/>
    <cellStyle name="SAPBEXundefined 2" xfId="51325" xr:uid="{00000000-0005-0000-0000-00003CC90000}"/>
    <cellStyle name="SAPBEXundefined 2 2" xfId="51326" xr:uid="{00000000-0005-0000-0000-00003DC90000}"/>
    <cellStyle name="SAPBEXundefined 2 2 2" xfId="51327" xr:uid="{00000000-0005-0000-0000-00003EC90000}"/>
    <cellStyle name="SAPBEXundefined 2 2 2 2" xfId="51328" xr:uid="{00000000-0005-0000-0000-00003FC90000}"/>
    <cellStyle name="SAPBEXundefined 2 2 2 2 2" xfId="51329" xr:uid="{00000000-0005-0000-0000-000040C90000}"/>
    <cellStyle name="SAPBEXundefined 2 2 2 2 2 2" xfId="51330" xr:uid="{00000000-0005-0000-0000-000041C90000}"/>
    <cellStyle name="SAPBEXundefined 2 2 2 2 3" xfId="51331" xr:uid="{00000000-0005-0000-0000-000042C90000}"/>
    <cellStyle name="SAPBEXundefined 2 2 2 3" xfId="51332" xr:uid="{00000000-0005-0000-0000-000043C90000}"/>
    <cellStyle name="SAPBEXundefined 2 2 2 3 2" xfId="51333" xr:uid="{00000000-0005-0000-0000-000044C90000}"/>
    <cellStyle name="SAPBEXundefined 2 2 2 4" xfId="51334" xr:uid="{00000000-0005-0000-0000-000045C90000}"/>
    <cellStyle name="SAPBEXundefined 2 2 3" xfId="51335" xr:uid="{00000000-0005-0000-0000-000046C90000}"/>
    <cellStyle name="SAPBEXundefined 2 2 3 2" xfId="51336" xr:uid="{00000000-0005-0000-0000-000047C90000}"/>
    <cellStyle name="SAPBEXundefined 2 2 3 2 2" xfId="51337" xr:uid="{00000000-0005-0000-0000-000048C90000}"/>
    <cellStyle name="SAPBEXundefined 2 2 3 3" xfId="51338" xr:uid="{00000000-0005-0000-0000-000049C90000}"/>
    <cellStyle name="SAPBEXundefined 2 2 4" xfId="51339" xr:uid="{00000000-0005-0000-0000-00004AC90000}"/>
    <cellStyle name="SAPBEXundefined 2 2 4 2" xfId="51340" xr:uid="{00000000-0005-0000-0000-00004BC90000}"/>
    <cellStyle name="SAPBEXundefined 2 2 4 2 2" xfId="51341" xr:uid="{00000000-0005-0000-0000-00004CC90000}"/>
    <cellStyle name="SAPBEXundefined 2 2 4 3" xfId="51342" xr:uid="{00000000-0005-0000-0000-00004DC90000}"/>
    <cellStyle name="SAPBEXundefined 2 2 5" xfId="51343" xr:uid="{00000000-0005-0000-0000-00004EC90000}"/>
    <cellStyle name="SAPBEXundefined 2 2 5 2" xfId="51344" xr:uid="{00000000-0005-0000-0000-00004FC90000}"/>
    <cellStyle name="SAPBEXundefined 2 2 6" xfId="51345" xr:uid="{00000000-0005-0000-0000-000050C90000}"/>
    <cellStyle name="SAPBEXundefined 2 3" xfId="51346" xr:uid="{00000000-0005-0000-0000-000051C90000}"/>
    <cellStyle name="SAPBEXundefined 2 3 2" xfId="51347" xr:uid="{00000000-0005-0000-0000-000052C90000}"/>
    <cellStyle name="SAPBEXundefined 2 4" xfId="51348" xr:uid="{00000000-0005-0000-0000-000053C90000}"/>
    <cellStyle name="SAPBEXundefined 2 4 2" xfId="51349" xr:uid="{00000000-0005-0000-0000-000054C90000}"/>
    <cellStyle name="SAPBEXundefined 2 4 2 2" xfId="51350" xr:uid="{00000000-0005-0000-0000-000055C90000}"/>
    <cellStyle name="SAPBEXundefined 2 4 3" xfId="51351" xr:uid="{00000000-0005-0000-0000-000056C90000}"/>
    <cellStyle name="SAPBEXundefined 2 5" xfId="51352" xr:uid="{00000000-0005-0000-0000-000057C90000}"/>
    <cellStyle name="SAPBEXundefined 2 5 2" xfId="51353" xr:uid="{00000000-0005-0000-0000-000058C90000}"/>
    <cellStyle name="SAPBEXundefined 2 5 2 2" xfId="51354" xr:uid="{00000000-0005-0000-0000-000059C90000}"/>
    <cellStyle name="SAPBEXundefined 2 5 3" xfId="51355" xr:uid="{00000000-0005-0000-0000-00005AC90000}"/>
    <cellStyle name="SAPBEXundefined 2 6" xfId="51356" xr:uid="{00000000-0005-0000-0000-00005BC90000}"/>
    <cellStyle name="SAPBEXundefined 3" xfId="51357" xr:uid="{00000000-0005-0000-0000-00005CC90000}"/>
    <cellStyle name="SAPBEXundefined 3 2" xfId="51358" xr:uid="{00000000-0005-0000-0000-00005DC90000}"/>
    <cellStyle name="SAPBEXundefined 3 2 2" xfId="51359" xr:uid="{00000000-0005-0000-0000-00005EC90000}"/>
    <cellStyle name="SAPBEXundefined 3 3" xfId="51360" xr:uid="{00000000-0005-0000-0000-00005FC90000}"/>
    <cellStyle name="SAPBEXundefined 3 3 2" xfId="51361" xr:uid="{00000000-0005-0000-0000-000060C90000}"/>
    <cellStyle name="SAPBEXundefined 3 3 2 2" xfId="51362" xr:uid="{00000000-0005-0000-0000-000061C90000}"/>
    <cellStyle name="SAPBEXundefined 3 3 3" xfId="51363" xr:uid="{00000000-0005-0000-0000-000062C90000}"/>
    <cellStyle name="SAPBEXundefined 3 4" xfId="51364" xr:uid="{00000000-0005-0000-0000-000063C90000}"/>
    <cellStyle name="SAPBEXundefined 3 4 2" xfId="51365" xr:uid="{00000000-0005-0000-0000-000064C90000}"/>
    <cellStyle name="SAPBEXundefined 3 4 2 2" xfId="51366" xr:uid="{00000000-0005-0000-0000-000065C90000}"/>
    <cellStyle name="SAPBEXundefined 3 4 3" xfId="51367" xr:uid="{00000000-0005-0000-0000-000066C90000}"/>
    <cellStyle name="SAPBEXundefined 3 5" xfId="51368" xr:uid="{00000000-0005-0000-0000-000067C90000}"/>
    <cellStyle name="SAPBEXundefined 4" xfId="51369" xr:uid="{00000000-0005-0000-0000-000068C90000}"/>
    <cellStyle name="SAPBEXundefined 4 2" xfId="51370" xr:uid="{00000000-0005-0000-0000-000069C90000}"/>
    <cellStyle name="SAPBEXundefined 4 2 2" xfId="51371" xr:uid="{00000000-0005-0000-0000-00006AC90000}"/>
    <cellStyle name="SAPBEXundefined 4 2 2 2" xfId="51372" xr:uid="{00000000-0005-0000-0000-00006BC90000}"/>
    <cellStyle name="SAPBEXundefined 4 2 3" xfId="51373" xr:uid="{00000000-0005-0000-0000-00006CC90000}"/>
    <cellStyle name="SAPBEXundefined 4 2 3 2" xfId="51374" xr:uid="{00000000-0005-0000-0000-00006DC90000}"/>
    <cellStyle name="SAPBEXundefined 4 2 3 2 2" xfId="51375" xr:uid="{00000000-0005-0000-0000-00006EC90000}"/>
    <cellStyle name="SAPBEXundefined 4 2 3 3" xfId="51376" xr:uid="{00000000-0005-0000-0000-00006FC90000}"/>
    <cellStyle name="SAPBEXundefined 4 2 4" xfId="51377" xr:uid="{00000000-0005-0000-0000-000070C90000}"/>
    <cellStyle name="SAPBEXundefined 4 3" xfId="51378" xr:uid="{00000000-0005-0000-0000-000071C90000}"/>
    <cellStyle name="SAPBEXundefined 4 3 2" xfId="51379" xr:uid="{00000000-0005-0000-0000-000072C90000}"/>
    <cellStyle name="SAPBEXundefined 4 3 2 2" xfId="51380" xr:uid="{00000000-0005-0000-0000-000073C90000}"/>
    <cellStyle name="SAPBEXundefined 4 3 3" xfId="51381" xr:uid="{00000000-0005-0000-0000-000074C90000}"/>
    <cellStyle name="SAPBEXundefined 4 4" xfId="51382" xr:uid="{00000000-0005-0000-0000-000075C90000}"/>
    <cellStyle name="SAPBEXundefined 4 4 2" xfId="51383" xr:uid="{00000000-0005-0000-0000-000076C90000}"/>
    <cellStyle name="SAPBEXundefined 4 4 2 2" xfId="51384" xr:uid="{00000000-0005-0000-0000-000077C90000}"/>
    <cellStyle name="SAPBEXundefined 4 4 3" xfId="51385" xr:uid="{00000000-0005-0000-0000-000078C90000}"/>
    <cellStyle name="SAPBEXundefined 4 5" xfId="51386" xr:uid="{00000000-0005-0000-0000-000079C90000}"/>
    <cellStyle name="SAPBEXundefined 4 5 2" xfId="51387" xr:uid="{00000000-0005-0000-0000-00007AC90000}"/>
    <cellStyle name="SAPBEXundefined 4 5 2 2" xfId="51388" xr:uid="{00000000-0005-0000-0000-00007BC90000}"/>
    <cellStyle name="SAPBEXundefined 4 5 3" xfId="51389" xr:uid="{00000000-0005-0000-0000-00007CC90000}"/>
    <cellStyle name="SAPBEXundefined 4 6" xfId="51390" xr:uid="{00000000-0005-0000-0000-00007DC90000}"/>
    <cellStyle name="SAPBEXundefined 5" xfId="51391" xr:uid="{00000000-0005-0000-0000-00007EC90000}"/>
    <cellStyle name="SAPBEXundefined 5 2" xfId="51392" xr:uid="{00000000-0005-0000-0000-00007FC90000}"/>
    <cellStyle name="SAPBEXundefined 5 2 2" xfId="51393" xr:uid="{00000000-0005-0000-0000-000080C90000}"/>
    <cellStyle name="SAPBEXundefined 5 3" xfId="51394" xr:uid="{00000000-0005-0000-0000-000081C90000}"/>
    <cellStyle name="SAPBEXundefined 6" xfId="51395" xr:uid="{00000000-0005-0000-0000-000082C90000}"/>
    <cellStyle name="SAPBEXundefined 6 2" xfId="51396" xr:uid="{00000000-0005-0000-0000-000083C90000}"/>
    <cellStyle name="SAPBEXundefined 6 2 2" xfId="51397" xr:uid="{00000000-0005-0000-0000-000084C90000}"/>
    <cellStyle name="SAPBEXundefined 6 3" xfId="51398" xr:uid="{00000000-0005-0000-0000-000085C90000}"/>
    <cellStyle name="SAPBEXundefined 7" xfId="51399" xr:uid="{00000000-0005-0000-0000-000086C90000}"/>
    <cellStyle name="SAPBEXundefined 7 2" xfId="51400" xr:uid="{00000000-0005-0000-0000-000087C90000}"/>
    <cellStyle name="SAPBEXundefined 7 2 2" xfId="51401" xr:uid="{00000000-0005-0000-0000-000088C90000}"/>
    <cellStyle name="SAPBEXundefined 7 3" xfId="51402" xr:uid="{00000000-0005-0000-0000-000089C90000}"/>
    <cellStyle name="SAPBEXundefined 8" xfId="51403" xr:uid="{00000000-0005-0000-0000-00008AC90000}"/>
    <cellStyle name="SAPBEXundefined 8 2" xfId="51404" xr:uid="{00000000-0005-0000-0000-00008BC90000}"/>
    <cellStyle name="SAPBEXundefined 9" xfId="51405" xr:uid="{00000000-0005-0000-0000-00008CC90000}"/>
    <cellStyle name="SAPBEXundefined 9 2" xfId="51406" xr:uid="{00000000-0005-0000-0000-00008DC90000}"/>
    <cellStyle name="SHADEDSTORES" xfId="51407" xr:uid="{00000000-0005-0000-0000-00008EC90000}"/>
    <cellStyle name="SHADEDSTORES 10" xfId="51408" xr:uid="{00000000-0005-0000-0000-00008FC90000}"/>
    <cellStyle name="SHADEDSTORES 10 2" xfId="51409" xr:uid="{00000000-0005-0000-0000-000090C90000}"/>
    <cellStyle name="SHADEDSTORES 10 2 2" xfId="51410" xr:uid="{00000000-0005-0000-0000-000091C90000}"/>
    <cellStyle name="SHADEDSTORES 10 2 2 2" xfId="51411" xr:uid="{00000000-0005-0000-0000-000092C90000}"/>
    <cellStyle name="SHADEDSTORES 10 2 2 2 2" xfId="51412" xr:uid="{00000000-0005-0000-0000-000093C90000}"/>
    <cellStyle name="SHADEDSTORES 10 2 2 2 3" xfId="51413" xr:uid="{00000000-0005-0000-0000-000094C90000}"/>
    <cellStyle name="SHADEDSTORES 10 2 2 3" xfId="51414" xr:uid="{00000000-0005-0000-0000-000095C90000}"/>
    <cellStyle name="SHADEDSTORES 10 2 3" xfId="51415" xr:uid="{00000000-0005-0000-0000-000096C90000}"/>
    <cellStyle name="SHADEDSTORES 10 3" xfId="51416" xr:uid="{00000000-0005-0000-0000-000097C90000}"/>
    <cellStyle name="SHADEDSTORES 10 3 2" xfId="51417" xr:uid="{00000000-0005-0000-0000-000098C90000}"/>
    <cellStyle name="SHADEDSTORES 10 3 2 2" xfId="51418" xr:uid="{00000000-0005-0000-0000-000099C90000}"/>
    <cellStyle name="SHADEDSTORES 10 3 2 2 2" xfId="51419" xr:uid="{00000000-0005-0000-0000-00009AC90000}"/>
    <cellStyle name="SHADEDSTORES 10 3 2 2 3" xfId="51420" xr:uid="{00000000-0005-0000-0000-00009BC90000}"/>
    <cellStyle name="SHADEDSTORES 10 3 2 3" xfId="51421" xr:uid="{00000000-0005-0000-0000-00009CC90000}"/>
    <cellStyle name="SHADEDSTORES 10 3 3" xfId="51422" xr:uid="{00000000-0005-0000-0000-00009DC90000}"/>
    <cellStyle name="SHADEDSTORES 10 3 3 2" xfId="51423" xr:uid="{00000000-0005-0000-0000-00009EC90000}"/>
    <cellStyle name="SHADEDSTORES 10 3 3 3" xfId="51424" xr:uid="{00000000-0005-0000-0000-00009FC90000}"/>
    <cellStyle name="SHADEDSTORES 10 3 4" xfId="51425" xr:uid="{00000000-0005-0000-0000-0000A0C90000}"/>
    <cellStyle name="SHADEDSTORES 10 4" xfId="51426" xr:uid="{00000000-0005-0000-0000-0000A1C90000}"/>
    <cellStyle name="SHADEDSTORES 10 4 2" xfId="51427" xr:uid="{00000000-0005-0000-0000-0000A2C90000}"/>
    <cellStyle name="SHADEDSTORES 10 4 2 2" xfId="51428" xr:uid="{00000000-0005-0000-0000-0000A3C90000}"/>
    <cellStyle name="SHADEDSTORES 10 4 2 3" xfId="51429" xr:uid="{00000000-0005-0000-0000-0000A4C90000}"/>
    <cellStyle name="SHADEDSTORES 10 4 3" xfId="51430" xr:uid="{00000000-0005-0000-0000-0000A5C90000}"/>
    <cellStyle name="SHADEDSTORES 10 5" xfId="51431" xr:uid="{00000000-0005-0000-0000-0000A6C90000}"/>
    <cellStyle name="SHADEDSTORES 10 5 2" xfId="51432" xr:uid="{00000000-0005-0000-0000-0000A7C90000}"/>
    <cellStyle name="SHADEDSTORES 10 5 3" xfId="51433" xr:uid="{00000000-0005-0000-0000-0000A8C90000}"/>
    <cellStyle name="SHADEDSTORES 10 6" xfId="51434" xr:uid="{00000000-0005-0000-0000-0000A9C90000}"/>
    <cellStyle name="SHADEDSTORES 11" xfId="51435" xr:uid="{00000000-0005-0000-0000-0000AAC90000}"/>
    <cellStyle name="SHADEDSTORES 2" xfId="51436" xr:uid="{00000000-0005-0000-0000-0000ABC90000}"/>
    <cellStyle name="SHADEDSTORES 2 2" xfId="51437" xr:uid="{00000000-0005-0000-0000-0000ACC90000}"/>
    <cellStyle name="SHADEDSTORES 2 2 2" xfId="51438" xr:uid="{00000000-0005-0000-0000-0000ADC90000}"/>
    <cellStyle name="SHADEDSTORES 2 2 2 2" xfId="51439" xr:uid="{00000000-0005-0000-0000-0000AEC90000}"/>
    <cellStyle name="SHADEDSTORES 2 2 2 2 2" xfId="51440" xr:uid="{00000000-0005-0000-0000-0000AFC90000}"/>
    <cellStyle name="SHADEDSTORES 2 2 2 2 2 2" xfId="51441" xr:uid="{00000000-0005-0000-0000-0000B0C90000}"/>
    <cellStyle name="SHADEDSTORES 2 2 2 2 2 2 2" xfId="51442" xr:uid="{00000000-0005-0000-0000-0000B1C90000}"/>
    <cellStyle name="SHADEDSTORES 2 2 2 2 2 2 2 2" xfId="51443" xr:uid="{00000000-0005-0000-0000-0000B2C90000}"/>
    <cellStyle name="SHADEDSTORES 2 2 2 2 2 2 2 3" xfId="51444" xr:uid="{00000000-0005-0000-0000-0000B3C90000}"/>
    <cellStyle name="SHADEDSTORES 2 2 2 2 2 2 3" xfId="51445" xr:uid="{00000000-0005-0000-0000-0000B4C90000}"/>
    <cellStyle name="SHADEDSTORES 2 2 2 2 2 3" xfId="51446" xr:uid="{00000000-0005-0000-0000-0000B5C90000}"/>
    <cellStyle name="SHADEDSTORES 2 2 2 2 3" xfId="51447" xr:uid="{00000000-0005-0000-0000-0000B6C90000}"/>
    <cellStyle name="SHADEDSTORES 2 2 2 2 3 2" xfId="51448" xr:uid="{00000000-0005-0000-0000-0000B7C90000}"/>
    <cellStyle name="SHADEDSTORES 2 2 2 2 3 2 2" xfId="51449" xr:uid="{00000000-0005-0000-0000-0000B8C90000}"/>
    <cellStyle name="SHADEDSTORES 2 2 2 2 3 2 2 2" xfId="51450" xr:uid="{00000000-0005-0000-0000-0000B9C90000}"/>
    <cellStyle name="SHADEDSTORES 2 2 2 2 3 2 2 3" xfId="51451" xr:uid="{00000000-0005-0000-0000-0000BAC90000}"/>
    <cellStyle name="SHADEDSTORES 2 2 2 2 3 2 3" xfId="51452" xr:uid="{00000000-0005-0000-0000-0000BBC90000}"/>
    <cellStyle name="SHADEDSTORES 2 2 2 2 3 3" xfId="51453" xr:uid="{00000000-0005-0000-0000-0000BCC90000}"/>
    <cellStyle name="SHADEDSTORES 2 2 2 2 3 3 2" xfId="51454" xr:uid="{00000000-0005-0000-0000-0000BDC90000}"/>
    <cellStyle name="SHADEDSTORES 2 2 2 2 3 3 3" xfId="51455" xr:uid="{00000000-0005-0000-0000-0000BEC90000}"/>
    <cellStyle name="SHADEDSTORES 2 2 2 2 3 4" xfId="51456" xr:uid="{00000000-0005-0000-0000-0000BFC90000}"/>
    <cellStyle name="SHADEDSTORES 2 2 2 2 4" xfId="51457" xr:uid="{00000000-0005-0000-0000-0000C0C90000}"/>
    <cellStyle name="SHADEDSTORES 2 2 2 2 4 2" xfId="51458" xr:uid="{00000000-0005-0000-0000-0000C1C90000}"/>
    <cellStyle name="SHADEDSTORES 2 2 2 2 4 2 2" xfId="51459" xr:uid="{00000000-0005-0000-0000-0000C2C90000}"/>
    <cellStyle name="SHADEDSTORES 2 2 2 2 4 2 3" xfId="51460" xr:uid="{00000000-0005-0000-0000-0000C3C90000}"/>
    <cellStyle name="SHADEDSTORES 2 2 2 2 4 3" xfId="51461" xr:uid="{00000000-0005-0000-0000-0000C4C90000}"/>
    <cellStyle name="SHADEDSTORES 2 2 2 2 5" xfId="51462" xr:uid="{00000000-0005-0000-0000-0000C5C90000}"/>
    <cellStyle name="SHADEDSTORES 2 2 2 2 5 2" xfId="51463" xr:uid="{00000000-0005-0000-0000-0000C6C90000}"/>
    <cellStyle name="SHADEDSTORES 2 2 2 2 5 3" xfId="51464" xr:uid="{00000000-0005-0000-0000-0000C7C90000}"/>
    <cellStyle name="SHADEDSTORES 2 2 2 2 6" xfId="51465" xr:uid="{00000000-0005-0000-0000-0000C8C90000}"/>
    <cellStyle name="SHADEDSTORES 2 2 2 3" xfId="51466" xr:uid="{00000000-0005-0000-0000-0000C9C90000}"/>
    <cellStyle name="SHADEDSTORES 2 2 3" xfId="51467" xr:uid="{00000000-0005-0000-0000-0000CAC90000}"/>
    <cellStyle name="SHADEDSTORES 2 2 3 2" xfId="51468" xr:uid="{00000000-0005-0000-0000-0000CBC90000}"/>
    <cellStyle name="SHADEDSTORES 2 2 3 2 2" xfId="51469" xr:uid="{00000000-0005-0000-0000-0000CCC90000}"/>
    <cellStyle name="SHADEDSTORES 2 2 3 3" xfId="51470" xr:uid="{00000000-0005-0000-0000-0000CDC90000}"/>
    <cellStyle name="SHADEDSTORES 2 2 4" xfId="51471" xr:uid="{00000000-0005-0000-0000-0000CEC90000}"/>
    <cellStyle name="SHADEDSTORES 2 2 4 2" xfId="51472" xr:uid="{00000000-0005-0000-0000-0000CFC90000}"/>
    <cellStyle name="SHADEDSTORES 2 2 4 2 2" xfId="51473" xr:uid="{00000000-0005-0000-0000-0000D0C90000}"/>
    <cellStyle name="SHADEDSTORES 2 2 4 3" xfId="51474" xr:uid="{00000000-0005-0000-0000-0000D1C90000}"/>
    <cellStyle name="SHADEDSTORES 2 2 5" xfId="51475" xr:uid="{00000000-0005-0000-0000-0000D2C90000}"/>
    <cellStyle name="SHADEDSTORES 2 2 5 2" xfId="51476" xr:uid="{00000000-0005-0000-0000-0000D3C90000}"/>
    <cellStyle name="SHADEDSTORES 2 2 5 2 2" xfId="51477" xr:uid="{00000000-0005-0000-0000-0000D4C90000}"/>
    <cellStyle name="SHADEDSTORES 2 2 5 2 2 2" xfId="51478" xr:uid="{00000000-0005-0000-0000-0000D5C90000}"/>
    <cellStyle name="SHADEDSTORES 2 2 5 2 3" xfId="51479" xr:uid="{00000000-0005-0000-0000-0000D6C90000}"/>
    <cellStyle name="SHADEDSTORES 2 2 5 3" xfId="51480" xr:uid="{00000000-0005-0000-0000-0000D7C90000}"/>
    <cellStyle name="SHADEDSTORES 2 2 5 3 2" xfId="51481" xr:uid="{00000000-0005-0000-0000-0000D8C90000}"/>
    <cellStyle name="SHADEDSTORES 2 2 5 4" xfId="51482" xr:uid="{00000000-0005-0000-0000-0000D9C90000}"/>
    <cellStyle name="SHADEDSTORES 2 2 6" xfId="51483" xr:uid="{00000000-0005-0000-0000-0000DAC90000}"/>
    <cellStyle name="SHADEDSTORES 2 3" xfId="51484" xr:uid="{00000000-0005-0000-0000-0000DBC90000}"/>
    <cellStyle name="SHADEDSTORES 2 3 10" xfId="51485" xr:uid="{00000000-0005-0000-0000-0000DCC90000}"/>
    <cellStyle name="SHADEDSTORES 2 3 2" xfId="51486" xr:uid="{00000000-0005-0000-0000-0000DDC90000}"/>
    <cellStyle name="SHADEDSTORES 2 3 2 2" xfId="51487" xr:uid="{00000000-0005-0000-0000-0000DEC90000}"/>
    <cellStyle name="SHADEDSTORES 2 3 2 2 2" xfId="51488" xr:uid="{00000000-0005-0000-0000-0000DFC90000}"/>
    <cellStyle name="SHADEDSTORES 2 3 2 2 2 2" xfId="51489" xr:uid="{00000000-0005-0000-0000-0000E0C90000}"/>
    <cellStyle name="SHADEDSTORES 2 3 2 2 2 2 2" xfId="51490" xr:uid="{00000000-0005-0000-0000-0000E1C90000}"/>
    <cellStyle name="SHADEDSTORES 2 3 2 2 2 2 2 2" xfId="51491" xr:uid="{00000000-0005-0000-0000-0000E2C90000}"/>
    <cellStyle name="SHADEDSTORES 2 3 2 2 2 2 3" xfId="51492" xr:uid="{00000000-0005-0000-0000-0000E3C90000}"/>
    <cellStyle name="SHADEDSTORES 2 3 2 2 2 3" xfId="51493" xr:uid="{00000000-0005-0000-0000-0000E4C90000}"/>
    <cellStyle name="SHADEDSTORES 2 3 2 2 2 3 2" xfId="51494" xr:uid="{00000000-0005-0000-0000-0000E5C90000}"/>
    <cellStyle name="SHADEDSTORES 2 3 2 2 2 4" xfId="51495" xr:uid="{00000000-0005-0000-0000-0000E6C90000}"/>
    <cellStyle name="SHADEDSTORES 2 3 2 2 3" xfId="51496" xr:uid="{00000000-0005-0000-0000-0000E7C90000}"/>
    <cellStyle name="SHADEDSTORES 2 3 2 2 3 2" xfId="51497" xr:uid="{00000000-0005-0000-0000-0000E8C90000}"/>
    <cellStyle name="SHADEDSTORES 2 3 2 2 3 2 2" xfId="51498" xr:uid="{00000000-0005-0000-0000-0000E9C90000}"/>
    <cellStyle name="SHADEDSTORES 2 3 2 2 3 3" xfId="51499" xr:uid="{00000000-0005-0000-0000-0000EAC90000}"/>
    <cellStyle name="SHADEDSTORES 2 3 2 2 3 3 2" xfId="51500" xr:uid="{00000000-0005-0000-0000-0000EBC90000}"/>
    <cellStyle name="SHADEDSTORES 2 3 2 2 3 4" xfId="51501" xr:uid="{00000000-0005-0000-0000-0000ECC90000}"/>
    <cellStyle name="SHADEDSTORES 2 3 2 2 4" xfId="51502" xr:uid="{00000000-0005-0000-0000-0000EDC90000}"/>
    <cellStyle name="SHADEDSTORES 2 3 2 2 4 2" xfId="51503" xr:uid="{00000000-0005-0000-0000-0000EEC90000}"/>
    <cellStyle name="SHADEDSTORES 2 3 2 2 5" xfId="51504" xr:uid="{00000000-0005-0000-0000-0000EFC90000}"/>
    <cellStyle name="SHADEDSTORES 2 3 2 2 5 2" xfId="51505" xr:uid="{00000000-0005-0000-0000-0000F0C90000}"/>
    <cellStyle name="SHADEDSTORES 2 3 2 2 6" xfId="51506" xr:uid="{00000000-0005-0000-0000-0000F1C90000}"/>
    <cellStyle name="SHADEDSTORES 2 3 2 3" xfId="51507" xr:uid="{00000000-0005-0000-0000-0000F2C90000}"/>
    <cellStyle name="SHADEDSTORES 2 3 2 3 2" xfId="51508" xr:uid="{00000000-0005-0000-0000-0000F3C90000}"/>
    <cellStyle name="SHADEDSTORES 2 3 2 3 2 2" xfId="51509" xr:uid="{00000000-0005-0000-0000-0000F4C90000}"/>
    <cellStyle name="SHADEDSTORES 2 3 2 3 3" xfId="51510" xr:uid="{00000000-0005-0000-0000-0000F5C90000}"/>
    <cellStyle name="SHADEDSTORES 2 3 2 4" xfId="51511" xr:uid="{00000000-0005-0000-0000-0000F6C90000}"/>
    <cellStyle name="SHADEDSTORES 2 3 2 4 2" xfId="51512" xr:uid="{00000000-0005-0000-0000-0000F7C90000}"/>
    <cellStyle name="SHADEDSTORES 2 3 2 4 2 2" xfId="51513" xr:uid="{00000000-0005-0000-0000-0000F8C90000}"/>
    <cellStyle name="SHADEDSTORES 2 3 2 4 2 2 2" xfId="51514" xr:uid="{00000000-0005-0000-0000-0000F9C90000}"/>
    <cellStyle name="SHADEDSTORES 2 3 2 4 2 3" xfId="51515" xr:uid="{00000000-0005-0000-0000-0000FAC90000}"/>
    <cellStyle name="SHADEDSTORES 2 3 2 4 3" xfId="51516" xr:uid="{00000000-0005-0000-0000-0000FBC90000}"/>
    <cellStyle name="SHADEDSTORES 2 3 2 4 3 2" xfId="51517" xr:uid="{00000000-0005-0000-0000-0000FCC90000}"/>
    <cellStyle name="SHADEDSTORES 2 3 2 4 4" xfId="51518" xr:uid="{00000000-0005-0000-0000-0000FDC90000}"/>
    <cellStyle name="SHADEDSTORES 2 3 2 5" xfId="51519" xr:uid="{00000000-0005-0000-0000-0000FEC90000}"/>
    <cellStyle name="SHADEDSTORES 2 3 2 5 2" xfId="51520" xr:uid="{00000000-0005-0000-0000-0000FFC90000}"/>
    <cellStyle name="SHADEDSTORES 2 3 2 5 2 2" xfId="51521" xr:uid="{00000000-0005-0000-0000-000000CA0000}"/>
    <cellStyle name="SHADEDSTORES 2 3 2 5 3" xfId="51522" xr:uid="{00000000-0005-0000-0000-000001CA0000}"/>
    <cellStyle name="SHADEDSTORES 2 3 2 5 3 2" xfId="51523" xr:uid="{00000000-0005-0000-0000-000002CA0000}"/>
    <cellStyle name="SHADEDSTORES 2 3 2 5 4" xfId="51524" xr:uid="{00000000-0005-0000-0000-000003CA0000}"/>
    <cellStyle name="SHADEDSTORES 2 3 2 6" xfId="51525" xr:uid="{00000000-0005-0000-0000-000004CA0000}"/>
    <cellStyle name="SHADEDSTORES 2 3 2 6 2" xfId="51526" xr:uid="{00000000-0005-0000-0000-000005CA0000}"/>
    <cellStyle name="SHADEDSTORES 2 3 2 7" xfId="51527" xr:uid="{00000000-0005-0000-0000-000006CA0000}"/>
    <cellStyle name="SHADEDSTORES 2 3 2 7 2" xfId="51528" xr:uid="{00000000-0005-0000-0000-000007CA0000}"/>
    <cellStyle name="SHADEDSTORES 2 3 2 8" xfId="51529" xr:uid="{00000000-0005-0000-0000-000008CA0000}"/>
    <cellStyle name="SHADEDSTORES 2 3 3" xfId="51530" xr:uid="{00000000-0005-0000-0000-000009CA0000}"/>
    <cellStyle name="SHADEDSTORES 2 3 3 2" xfId="51531" xr:uid="{00000000-0005-0000-0000-00000ACA0000}"/>
    <cellStyle name="SHADEDSTORES 2 3 3 2 2" xfId="51532" xr:uid="{00000000-0005-0000-0000-00000BCA0000}"/>
    <cellStyle name="SHADEDSTORES 2 3 3 2 2 2" xfId="51533" xr:uid="{00000000-0005-0000-0000-00000CCA0000}"/>
    <cellStyle name="SHADEDSTORES 2 3 3 2 2 2 2" xfId="51534" xr:uid="{00000000-0005-0000-0000-00000DCA0000}"/>
    <cellStyle name="SHADEDSTORES 2 3 3 2 2 2 2 2" xfId="51535" xr:uid="{00000000-0005-0000-0000-00000ECA0000}"/>
    <cellStyle name="SHADEDSTORES 2 3 3 2 2 2 3" xfId="51536" xr:uid="{00000000-0005-0000-0000-00000FCA0000}"/>
    <cellStyle name="SHADEDSTORES 2 3 3 2 2 3" xfId="51537" xr:uid="{00000000-0005-0000-0000-000010CA0000}"/>
    <cellStyle name="SHADEDSTORES 2 3 3 2 2 3 2" xfId="51538" xr:uid="{00000000-0005-0000-0000-000011CA0000}"/>
    <cellStyle name="SHADEDSTORES 2 3 3 2 2 4" xfId="51539" xr:uid="{00000000-0005-0000-0000-000012CA0000}"/>
    <cellStyle name="SHADEDSTORES 2 3 3 2 3" xfId="51540" xr:uid="{00000000-0005-0000-0000-000013CA0000}"/>
    <cellStyle name="SHADEDSTORES 2 3 3 2 3 2" xfId="51541" xr:uid="{00000000-0005-0000-0000-000014CA0000}"/>
    <cellStyle name="SHADEDSTORES 2 3 3 2 3 2 2" xfId="51542" xr:uid="{00000000-0005-0000-0000-000015CA0000}"/>
    <cellStyle name="SHADEDSTORES 2 3 3 2 3 3" xfId="51543" xr:uid="{00000000-0005-0000-0000-000016CA0000}"/>
    <cellStyle name="SHADEDSTORES 2 3 3 2 3 3 2" xfId="51544" xr:uid="{00000000-0005-0000-0000-000017CA0000}"/>
    <cellStyle name="SHADEDSTORES 2 3 3 2 3 4" xfId="51545" xr:uid="{00000000-0005-0000-0000-000018CA0000}"/>
    <cellStyle name="SHADEDSTORES 2 3 3 2 4" xfId="51546" xr:uid="{00000000-0005-0000-0000-000019CA0000}"/>
    <cellStyle name="SHADEDSTORES 2 3 3 2 4 2" xfId="51547" xr:uid="{00000000-0005-0000-0000-00001ACA0000}"/>
    <cellStyle name="SHADEDSTORES 2 3 3 2 5" xfId="51548" xr:uid="{00000000-0005-0000-0000-00001BCA0000}"/>
    <cellStyle name="SHADEDSTORES 2 3 3 2 5 2" xfId="51549" xr:uid="{00000000-0005-0000-0000-00001CCA0000}"/>
    <cellStyle name="SHADEDSTORES 2 3 3 2 6" xfId="51550" xr:uid="{00000000-0005-0000-0000-00001DCA0000}"/>
    <cellStyle name="SHADEDSTORES 2 3 3 3" xfId="51551" xr:uid="{00000000-0005-0000-0000-00001ECA0000}"/>
    <cellStyle name="SHADEDSTORES 2 3 3 3 2" xfId="51552" xr:uid="{00000000-0005-0000-0000-00001FCA0000}"/>
    <cellStyle name="SHADEDSTORES 2 3 3 3 2 2" xfId="51553" xr:uid="{00000000-0005-0000-0000-000020CA0000}"/>
    <cellStyle name="SHADEDSTORES 2 3 3 3 2 2 2" xfId="51554" xr:uid="{00000000-0005-0000-0000-000021CA0000}"/>
    <cellStyle name="SHADEDSTORES 2 3 3 3 2 3" xfId="51555" xr:uid="{00000000-0005-0000-0000-000022CA0000}"/>
    <cellStyle name="SHADEDSTORES 2 3 3 3 3" xfId="51556" xr:uid="{00000000-0005-0000-0000-000023CA0000}"/>
    <cellStyle name="SHADEDSTORES 2 3 3 3 3 2" xfId="51557" xr:uid="{00000000-0005-0000-0000-000024CA0000}"/>
    <cellStyle name="SHADEDSTORES 2 3 3 3 4" xfId="51558" xr:uid="{00000000-0005-0000-0000-000025CA0000}"/>
    <cellStyle name="SHADEDSTORES 2 3 3 4" xfId="51559" xr:uid="{00000000-0005-0000-0000-000026CA0000}"/>
    <cellStyle name="SHADEDSTORES 2 3 3 4 2" xfId="51560" xr:uid="{00000000-0005-0000-0000-000027CA0000}"/>
    <cellStyle name="SHADEDSTORES 2 3 3 4 2 2" xfId="51561" xr:uid="{00000000-0005-0000-0000-000028CA0000}"/>
    <cellStyle name="SHADEDSTORES 2 3 3 4 3" xfId="51562" xr:uid="{00000000-0005-0000-0000-000029CA0000}"/>
    <cellStyle name="SHADEDSTORES 2 3 3 4 3 2" xfId="51563" xr:uid="{00000000-0005-0000-0000-00002ACA0000}"/>
    <cellStyle name="SHADEDSTORES 2 3 3 4 4" xfId="51564" xr:uid="{00000000-0005-0000-0000-00002BCA0000}"/>
    <cellStyle name="SHADEDSTORES 2 3 3 5" xfId="51565" xr:uid="{00000000-0005-0000-0000-00002CCA0000}"/>
    <cellStyle name="SHADEDSTORES 2 3 3 5 2" xfId="51566" xr:uid="{00000000-0005-0000-0000-00002DCA0000}"/>
    <cellStyle name="SHADEDSTORES 2 3 3 6" xfId="51567" xr:uid="{00000000-0005-0000-0000-00002ECA0000}"/>
    <cellStyle name="SHADEDSTORES 2 3 3 6 2" xfId="51568" xr:uid="{00000000-0005-0000-0000-00002FCA0000}"/>
    <cellStyle name="SHADEDSTORES 2 3 3 7" xfId="51569" xr:uid="{00000000-0005-0000-0000-000030CA0000}"/>
    <cellStyle name="SHADEDSTORES 2 3 4" xfId="51570" xr:uid="{00000000-0005-0000-0000-000031CA0000}"/>
    <cellStyle name="SHADEDSTORES 2 3 4 2" xfId="51571" xr:uid="{00000000-0005-0000-0000-000032CA0000}"/>
    <cellStyle name="SHADEDSTORES 2 3 4 2 2" xfId="51572" xr:uid="{00000000-0005-0000-0000-000033CA0000}"/>
    <cellStyle name="SHADEDSTORES 2 3 4 3" xfId="51573" xr:uid="{00000000-0005-0000-0000-000034CA0000}"/>
    <cellStyle name="SHADEDSTORES 2 3 5" xfId="51574" xr:uid="{00000000-0005-0000-0000-000035CA0000}"/>
    <cellStyle name="SHADEDSTORES 2 3 5 2" xfId="51575" xr:uid="{00000000-0005-0000-0000-000036CA0000}"/>
    <cellStyle name="SHADEDSTORES 2 3 5 2 2" xfId="51576" xr:uid="{00000000-0005-0000-0000-000037CA0000}"/>
    <cellStyle name="SHADEDSTORES 2 3 5 3" xfId="51577" xr:uid="{00000000-0005-0000-0000-000038CA0000}"/>
    <cellStyle name="SHADEDSTORES 2 3 6" xfId="51578" xr:uid="{00000000-0005-0000-0000-000039CA0000}"/>
    <cellStyle name="SHADEDSTORES 2 3 6 2" xfId="51579" xr:uid="{00000000-0005-0000-0000-00003ACA0000}"/>
    <cellStyle name="SHADEDSTORES 2 3 6 2 2" xfId="51580" xr:uid="{00000000-0005-0000-0000-00003BCA0000}"/>
    <cellStyle name="SHADEDSTORES 2 3 6 2 2 2" xfId="51581" xr:uid="{00000000-0005-0000-0000-00003CCA0000}"/>
    <cellStyle name="SHADEDSTORES 2 3 6 2 3" xfId="51582" xr:uid="{00000000-0005-0000-0000-00003DCA0000}"/>
    <cellStyle name="SHADEDSTORES 2 3 6 3" xfId="51583" xr:uid="{00000000-0005-0000-0000-00003ECA0000}"/>
    <cellStyle name="SHADEDSTORES 2 3 6 3 2" xfId="51584" xr:uid="{00000000-0005-0000-0000-00003FCA0000}"/>
    <cellStyle name="SHADEDSTORES 2 3 6 4" xfId="51585" xr:uid="{00000000-0005-0000-0000-000040CA0000}"/>
    <cellStyle name="SHADEDSTORES 2 3 7" xfId="51586" xr:uid="{00000000-0005-0000-0000-000041CA0000}"/>
    <cellStyle name="SHADEDSTORES 2 3 7 2" xfId="51587" xr:uid="{00000000-0005-0000-0000-000042CA0000}"/>
    <cellStyle name="SHADEDSTORES 2 3 7 2 2" xfId="51588" xr:uid="{00000000-0005-0000-0000-000043CA0000}"/>
    <cellStyle name="SHADEDSTORES 2 3 7 3" xfId="51589" xr:uid="{00000000-0005-0000-0000-000044CA0000}"/>
    <cellStyle name="SHADEDSTORES 2 3 7 3 2" xfId="51590" xr:uid="{00000000-0005-0000-0000-000045CA0000}"/>
    <cellStyle name="SHADEDSTORES 2 3 7 4" xfId="51591" xr:uid="{00000000-0005-0000-0000-000046CA0000}"/>
    <cellStyle name="SHADEDSTORES 2 3 8" xfId="51592" xr:uid="{00000000-0005-0000-0000-000047CA0000}"/>
    <cellStyle name="SHADEDSTORES 2 3 8 2" xfId="51593" xr:uid="{00000000-0005-0000-0000-000048CA0000}"/>
    <cellStyle name="SHADEDSTORES 2 3 9" xfId="51594" xr:uid="{00000000-0005-0000-0000-000049CA0000}"/>
    <cellStyle name="SHADEDSTORES 2 3 9 2" xfId="51595" xr:uid="{00000000-0005-0000-0000-00004ACA0000}"/>
    <cellStyle name="SHADEDSTORES 2 4" xfId="51596" xr:uid="{00000000-0005-0000-0000-00004BCA0000}"/>
    <cellStyle name="SHADEDSTORES 2 4 2" xfId="51597" xr:uid="{00000000-0005-0000-0000-00004CCA0000}"/>
    <cellStyle name="SHADEDSTORES 2 4 2 2" xfId="51598" xr:uid="{00000000-0005-0000-0000-00004DCA0000}"/>
    <cellStyle name="SHADEDSTORES 2 4 2 2 2" xfId="51599" xr:uid="{00000000-0005-0000-0000-00004ECA0000}"/>
    <cellStyle name="SHADEDSTORES 2 4 2 2 2 2" xfId="51600" xr:uid="{00000000-0005-0000-0000-00004FCA0000}"/>
    <cellStyle name="SHADEDSTORES 2 4 2 2 2 2 2" xfId="51601" xr:uid="{00000000-0005-0000-0000-000050CA0000}"/>
    <cellStyle name="SHADEDSTORES 2 4 2 2 2 3" xfId="51602" xr:uid="{00000000-0005-0000-0000-000051CA0000}"/>
    <cellStyle name="SHADEDSTORES 2 4 2 2 3" xfId="51603" xr:uid="{00000000-0005-0000-0000-000052CA0000}"/>
    <cellStyle name="SHADEDSTORES 2 4 2 2 3 2" xfId="51604" xr:uid="{00000000-0005-0000-0000-000053CA0000}"/>
    <cellStyle name="SHADEDSTORES 2 4 2 2 4" xfId="51605" xr:uid="{00000000-0005-0000-0000-000054CA0000}"/>
    <cellStyle name="SHADEDSTORES 2 4 2 3" xfId="51606" xr:uid="{00000000-0005-0000-0000-000055CA0000}"/>
    <cellStyle name="SHADEDSTORES 2 4 2 3 2" xfId="51607" xr:uid="{00000000-0005-0000-0000-000056CA0000}"/>
    <cellStyle name="SHADEDSTORES 2 4 2 3 2 2" xfId="51608" xr:uid="{00000000-0005-0000-0000-000057CA0000}"/>
    <cellStyle name="SHADEDSTORES 2 4 2 3 3" xfId="51609" xr:uid="{00000000-0005-0000-0000-000058CA0000}"/>
    <cellStyle name="SHADEDSTORES 2 4 2 3 3 2" xfId="51610" xr:uid="{00000000-0005-0000-0000-000059CA0000}"/>
    <cellStyle name="SHADEDSTORES 2 4 2 3 4" xfId="51611" xr:uid="{00000000-0005-0000-0000-00005ACA0000}"/>
    <cellStyle name="SHADEDSTORES 2 4 2 4" xfId="51612" xr:uid="{00000000-0005-0000-0000-00005BCA0000}"/>
    <cellStyle name="SHADEDSTORES 2 4 2 4 2" xfId="51613" xr:uid="{00000000-0005-0000-0000-00005CCA0000}"/>
    <cellStyle name="SHADEDSTORES 2 4 2 5" xfId="51614" xr:uid="{00000000-0005-0000-0000-00005DCA0000}"/>
    <cellStyle name="SHADEDSTORES 2 4 2 5 2" xfId="51615" xr:uid="{00000000-0005-0000-0000-00005ECA0000}"/>
    <cellStyle name="SHADEDSTORES 2 4 2 6" xfId="51616" xr:uid="{00000000-0005-0000-0000-00005FCA0000}"/>
    <cellStyle name="SHADEDSTORES 2 4 3" xfId="51617" xr:uid="{00000000-0005-0000-0000-000060CA0000}"/>
    <cellStyle name="SHADEDSTORES 2 4 3 2" xfId="51618" xr:uid="{00000000-0005-0000-0000-000061CA0000}"/>
    <cellStyle name="SHADEDSTORES 2 4 3 2 2" xfId="51619" xr:uid="{00000000-0005-0000-0000-000062CA0000}"/>
    <cellStyle name="SHADEDSTORES 2 4 3 2 2 2" xfId="51620" xr:uid="{00000000-0005-0000-0000-000063CA0000}"/>
    <cellStyle name="SHADEDSTORES 2 4 3 2 3" xfId="51621" xr:uid="{00000000-0005-0000-0000-000064CA0000}"/>
    <cellStyle name="SHADEDSTORES 2 4 3 3" xfId="51622" xr:uid="{00000000-0005-0000-0000-000065CA0000}"/>
    <cellStyle name="SHADEDSTORES 2 4 3 3 2" xfId="51623" xr:uid="{00000000-0005-0000-0000-000066CA0000}"/>
    <cellStyle name="SHADEDSTORES 2 4 3 4" xfId="51624" xr:uid="{00000000-0005-0000-0000-000067CA0000}"/>
    <cellStyle name="SHADEDSTORES 2 4 4" xfId="51625" xr:uid="{00000000-0005-0000-0000-000068CA0000}"/>
    <cellStyle name="SHADEDSTORES 2 4 4 2" xfId="51626" xr:uid="{00000000-0005-0000-0000-000069CA0000}"/>
    <cellStyle name="SHADEDSTORES 2 4 4 2 2" xfId="51627" xr:uid="{00000000-0005-0000-0000-00006ACA0000}"/>
    <cellStyle name="SHADEDSTORES 2 4 4 3" xfId="51628" xr:uid="{00000000-0005-0000-0000-00006BCA0000}"/>
    <cellStyle name="SHADEDSTORES 2 4 4 3 2" xfId="51629" xr:uid="{00000000-0005-0000-0000-00006CCA0000}"/>
    <cellStyle name="SHADEDSTORES 2 4 4 4" xfId="51630" xr:uid="{00000000-0005-0000-0000-00006DCA0000}"/>
    <cellStyle name="SHADEDSTORES 2 4 5" xfId="51631" xr:uid="{00000000-0005-0000-0000-00006ECA0000}"/>
    <cellStyle name="SHADEDSTORES 2 4 5 2" xfId="51632" xr:uid="{00000000-0005-0000-0000-00006FCA0000}"/>
    <cellStyle name="SHADEDSTORES 2 4 6" xfId="51633" xr:uid="{00000000-0005-0000-0000-000070CA0000}"/>
    <cellStyle name="SHADEDSTORES 2 4 6 2" xfId="51634" xr:uid="{00000000-0005-0000-0000-000071CA0000}"/>
    <cellStyle name="SHADEDSTORES 2 4 7" xfId="51635" xr:uid="{00000000-0005-0000-0000-000072CA0000}"/>
    <cellStyle name="SHADEDSTORES 2 5" xfId="51636" xr:uid="{00000000-0005-0000-0000-000073CA0000}"/>
    <cellStyle name="SHADEDSTORES 2 5 2" xfId="51637" xr:uid="{00000000-0005-0000-0000-000074CA0000}"/>
    <cellStyle name="SHADEDSTORES 2 5 2 2" xfId="51638" xr:uid="{00000000-0005-0000-0000-000075CA0000}"/>
    <cellStyle name="SHADEDSTORES 2 5 3" xfId="51639" xr:uid="{00000000-0005-0000-0000-000076CA0000}"/>
    <cellStyle name="SHADEDSTORES 2 6" xfId="51640" xr:uid="{00000000-0005-0000-0000-000077CA0000}"/>
    <cellStyle name="SHADEDSTORES 2 6 2" xfId="51641" xr:uid="{00000000-0005-0000-0000-000078CA0000}"/>
    <cellStyle name="SHADEDSTORES 2 6 2 2" xfId="51642" xr:uid="{00000000-0005-0000-0000-000079CA0000}"/>
    <cellStyle name="SHADEDSTORES 2 6 3" xfId="51643" xr:uid="{00000000-0005-0000-0000-00007ACA0000}"/>
    <cellStyle name="SHADEDSTORES 2 7" xfId="51644" xr:uid="{00000000-0005-0000-0000-00007BCA0000}"/>
    <cellStyle name="SHADEDSTORES 2 7 2" xfId="51645" xr:uid="{00000000-0005-0000-0000-00007CCA0000}"/>
    <cellStyle name="SHADEDSTORES 2 7 2 2" xfId="51646" xr:uid="{00000000-0005-0000-0000-00007DCA0000}"/>
    <cellStyle name="SHADEDSTORES 2 7 2 2 2" xfId="51647" xr:uid="{00000000-0005-0000-0000-00007ECA0000}"/>
    <cellStyle name="SHADEDSTORES 2 7 2 3" xfId="51648" xr:uid="{00000000-0005-0000-0000-00007FCA0000}"/>
    <cellStyle name="SHADEDSTORES 2 7 3" xfId="51649" xr:uid="{00000000-0005-0000-0000-000080CA0000}"/>
    <cellStyle name="SHADEDSTORES 2 7 3 2" xfId="51650" xr:uid="{00000000-0005-0000-0000-000081CA0000}"/>
    <cellStyle name="SHADEDSTORES 2 7 4" xfId="51651" xr:uid="{00000000-0005-0000-0000-000082CA0000}"/>
    <cellStyle name="SHADEDSTORES 2 8" xfId="51652" xr:uid="{00000000-0005-0000-0000-000083CA0000}"/>
    <cellStyle name="SHADEDSTORES 3" xfId="51653" xr:uid="{00000000-0005-0000-0000-000084CA0000}"/>
    <cellStyle name="SHADEDSTORES 3 10" xfId="51654" xr:uid="{00000000-0005-0000-0000-000085CA0000}"/>
    <cellStyle name="SHADEDSTORES 3 11" xfId="51655" xr:uid="{00000000-0005-0000-0000-000086CA0000}"/>
    <cellStyle name="SHADEDSTORES 3 2" xfId="51656" xr:uid="{00000000-0005-0000-0000-000087CA0000}"/>
    <cellStyle name="SHADEDSTORES 3 2 2" xfId="51657" xr:uid="{00000000-0005-0000-0000-000088CA0000}"/>
    <cellStyle name="SHADEDSTORES 3 2 2 2" xfId="51658" xr:uid="{00000000-0005-0000-0000-000089CA0000}"/>
    <cellStyle name="SHADEDSTORES 3 2 2 2 2" xfId="51659" xr:uid="{00000000-0005-0000-0000-00008ACA0000}"/>
    <cellStyle name="SHADEDSTORES 3 2 2 2 2 2" xfId="51660" xr:uid="{00000000-0005-0000-0000-00008BCA0000}"/>
    <cellStyle name="SHADEDSTORES 3 2 2 2 2 2 2" xfId="51661" xr:uid="{00000000-0005-0000-0000-00008CCA0000}"/>
    <cellStyle name="SHADEDSTORES 3 2 2 2 2 3" xfId="51662" xr:uid="{00000000-0005-0000-0000-00008DCA0000}"/>
    <cellStyle name="SHADEDSTORES 3 2 2 2 3" xfId="51663" xr:uid="{00000000-0005-0000-0000-00008ECA0000}"/>
    <cellStyle name="SHADEDSTORES 3 2 2 2 3 2" xfId="51664" xr:uid="{00000000-0005-0000-0000-00008FCA0000}"/>
    <cellStyle name="SHADEDSTORES 3 2 2 2 4" xfId="51665" xr:uid="{00000000-0005-0000-0000-000090CA0000}"/>
    <cellStyle name="SHADEDSTORES 3 2 2 3" xfId="51666" xr:uid="{00000000-0005-0000-0000-000091CA0000}"/>
    <cellStyle name="SHADEDSTORES 3 2 2 3 2" xfId="51667" xr:uid="{00000000-0005-0000-0000-000092CA0000}"/>
    <cellStyle name="SHADEDSTORES 3 2 2 3 2 2" xfId="51668" xr:uid="{00000000-0005-0000-0000-000093CA0000}"/>
    <cellStyle name="SHADEDSTORES 3 2 2 3 3" xfId="51669" xr:uid="{00000000-0005-0000-0000-000094CA0000}"/>
    <cellStyle name="SHADEDSTORES 3 2 2 3 3 2" xfId="51670" xr:uid="{00000000-0005-0000-0000-000095CA0000}"/>
    <cellStyle name="SHADEDSTORES 3 2 2 3 4" xfId="51671" xr:uid="{00000000-0005-0000-0000-000096CA0000}"/>
    <cellStyle name="SHADEDSTORES 3 2 2 4" xfId="51672" xr:uid="{00000000-0005-0000-0000-000097CA0000}"/>
    <cellStyle name="SHADEDSTORES 3 2 2 4 2" xfId="51673" xr:uid="{00000000-0005-0000-0000-000098CA0000}"/>
    <cellStyle name="SHADEDSTORES 3 2 2 5" xfId="51674" xr:uid="{00000000-0005-0000-0000-000099CA0000}"/>
    <cellStyle name="SHADEDSTORES 3 2 2 5 2" xfId="51675" xr:uid="{00000000-0005-0000-0000-00009ACA0000}"/>
    <cellStyle name="SHADEDSTORES 3 2 2 6" xfId="51676" xr:uid="{00000000-0005-0000-0000-00009BCA0000}"/>
    <cellStyle name="SHADEDSTORES 3 2 3" xfId="51677" xr:uid="{00000000-0005-0000-0000-00009CCA0000}"/>
    <cellStyle name="SHADEDSTORES 3 2 3 2" xfId="51678" xr:uid="{00000000-0005-0000-0000-00009DCA0000}"/>
    <cellStyle name="SHADEDSTORES 3 2 3 2 2" xfId="51679" xr:uid="{00000000-0005-0000-0000-00009ECA0000}"/>
    <cellStyle name="SHADEDSTORES 3 2 3 3" xfId="51680" xr:uid="{00000000-0005-0000-0000-00009FCA0000}"/>
    <cellStyle name="SHADEDSTORES 3 2 4" xfId="51681" xr:uid="{00000000-0005-0000-0000-0000A0CA0000}"/>
    <cellStyle name="SHADEDSTORES 3 2 4 2" xfId="51682" xr:uid="{00000000-0005-0000-0000-0000A1CA0000}"/>
    <cellStyle name="SHADEDSTORES 3 2 4 2 2" xfId="51683" xr:uid="{00000000-0005-0000-0000-0000A2CA0000}"/>
    <cellStyle name="SHADEDSTORES 3 2 4 3" xfId="51684" xr:uid="{00000000-0005-0000-0000-0000A3CA0000}"/>
    <cellStyle name="SHADEDSTORES 3 2 5" xfId="51685" xr:uid="{00000000-0005-0000-0000-0000A4CA0000}"/>
    <cellStyle name="SHADEDSTORES 3 2 5 2" xfId="51686" xr:uid="{00000000-0005-0000-0000-0000A5CA0000}"/>
    <cellStyle name="SHADEDSTORES 3 2 5 2 2" xfId="51687" xr:uid="{00000000-0005-0000-0000-0000A6CA0000}"/>
    <cellStyle name="SHADEDSTORES 3 2 5 2 2 2" xfId="51688" xr:uid="{00000000-0005-0000-0000-0000A7CA0000}"/>
    <cellStyle name="SHADEDSTORES 3 2 5 2 3" xfId="51689" xr:uid="{00000000-0005-0000-0000-0000A8CA0000}"/>
    <cellStyle name="SHADEDSTORES 3 2 5 3" xfId="51690" xr:uid="{00000000-0005-0000-0000-0000A9CA0000}"/>
    <cellStyle name="SHADEDSTORES 3 2 5 3 2" xfId="51691" xr:uid="{00000000-0005-0000-0000-0000AACA0000}"/>
    <cellStyle name="SHADEDSTORES 3 2 5 4" xfId="51692" xr:uid="{00000000-0005-0000-0000-0000ABCA0000}"/>
    <cellStyle name="SHADEDSTORES 3 2 6" xfId="51693" xr:uid="{00000000-0005-0000-0000-0000ACCA0000}"/>
    <cellStyle name="SHADEDSTORES 3 2 6 2" xfId="51694" xr:uid="{00000000-0005-0000-0000-0000ADCA0000}"/>
    <cellStyle name="SHADEDSTORES 3 2 6 2 2" xfId="51695" xr:uid="{00000000-0005-0000-0000-0000AECA0000}"/>
    <cellStyle name="SHADEDSTORES 3 2 6 3" xfId="51696" xr:uid="{00000000-0005-0000-0000-0000AFCA0000}"/>
    <cellStyle name="SHADEDSTORES 3 2 6 3 2" xfId="51697" xr:uid="{00000000-0005-0000-0000-0000B0CA0000}"/>
    <cellStyle name="SHADEDSTORES 3 2 6 4" xfId="51698" xr:uid="{00000000-0005-0000-0000-0000B1CA0000}"/>
    <cellStyle name="SHADEDSTORES 3 2 7" xfId="51699" xr:uid="{00000000-0005-0000-0000-0000B2CA0000}"/>
    <cellStyle name="SHADEDSTORES 3 2 7 2" xfId="51700" xr:uid="{00000000-0005-0000-0000-0000B3CA0000}"/>
    <cellStyle name="SHADEDSTORES 3 2 8" xfId="51701" xr:uid="{00000000-0005-0000-0000-0000B4CA0000}"/>
    <cellStyle name="SHADEDSTORES 3 2 8 2" xfId="51702" xr:uid="{00000000-0005-0000-0000-0000B5CA0000}"/>
    <cellStyle name="SHADEDSTORES 3 2 9" xfId="51703" xr:uid="{00000000-0005-0000-0000-0000B6CA0000}"/>
    <cellStyle name="SHADEDSTORES 3 3" xfId="51704" xr:uid="{00000000-0005-0000-0000-0000B7CA0000}"/>
    <cellStyle name="SHADEDSTORES 3 3 2" xfId="51705" xr:uid="{00000000-0005-0000-0000-0000B8CA0000}"/>
    <cellStyle name="SHADEDSTORES 3 3 2 2" xfId="51706" xr:uid="{00000000-0005-0000-0000-0000B9CA0000}"/>
    <cellStyle name="SHADEDSTORES 3 3 2 2 2" xfId="51707" xr:uid="{00000000-0005-0000-0000-0000BACA0000}"/>
    <cellStyle name="SHADEDSTORES 3 3 2 2 2 2" xfId="51708" xr:uid="{00000000-0005-0000-0000-0000BBCA0000}"/>
    <cellStyle name="SHADEDSTORES 3 3 2 2 2 2 2" xfId="51709" xr:uid="{00000000-0005-0000-0000-0000BCCA0000}"/>
    <cellStyle name="SHADEDSTORES 3 3 2 2 2 3" xfId="51710" xr:uid="{00000000-0005-0000-0000-0000BDCA0000}"/>
    <cellStyle name="SHADEDSTORES 3 3 2 2 3" xfId="51711" xr:uid="{00000000-0005-0000-0000-0000BECA0000}"/>
    <cellStyle name="SHADEDSTORES 3 3 2 2 3 2" xfId="51712" xr:uid="{00000000-0005-0000-0000-0000BFCA0000}"/>
    <cellStyle name="SHADEDSTORES 3 3 2 2 4" xfId="51713" xr:uid="{00000000-0005-0000-0000-0000C0CA0000}"/>
    <cellStyle name="SHADEDSTORES 3 3 2 3" xfId="51714" xr:uid="{00000000-0005-0000-0000-0000C1CA0000}"/>
    <cellStyle name="SHADEDSTORES 3 3 2 3 2" xfId="51715" xr:uid="{00000000-0005-0000-0000-0000C2CA0000}"/>
    <cellStyle name="SHADEDSTORES 3 3 2 3 2 2" xfId="51716" xr:uid="{00000000-0005-0000-0000-0000C3CA0000}"/>
    <cellStyle name="SHADEDSTORES 3 3 2 3 3" xfId="51717" xr:uid="{00000000-0005-0000-0000-0000C4CA0000}"/>
    <cellStyle name="SHADEDSTORES 3 3 2 3 3 2" xfId="51718" xr:uid="{00000000-0005-0000-0000-0000C5CA0000}"/>
    <cellStyle name="SHADEDSTORES 3 3 2 3 4" xfId="51719" xr:uid="{00000000-0005-0000-0000-0000C6CA0000}"/>
    <cellStyle name="SHADEDSTORES 3 3 2 4" xfId="51720" xr:uid="{00000000-0005-0000-0000-0000C7CA0000}"/>
    <cellStyle name="SHADEDSTORES 3 3 2 4 2" xfId="51721" xr:uid="{00000000-0005-0000-0000-0000C8CA0000}"/>
    <cellStyle name="SHADEDSTORES 3 3 2 5" xfId="51722" xr:uid="{00000000-0005-0000-0000-0000C9CA0000}"/>
    <cellStyle name="SHADEDSTORES 3 3 2 5 2" xfId="51723" xr:uid="{00000000-0005-0000-0000-0000CACA0000}"/>
    <cellStyle name="SHADEDSTORES 3 3 2 6" xfId="51724" xr:uid="{00000000-0005-0000-0000-0000CBCA0000}"/>
    <cellStyle name="SHADEDSTORES 3 3 3" xfId="51725" xr:uid="{00000000-0005-0000-0000-0000CCCA0000}"/>
    <cellStyle name="SHADEDSTORES 3 3 3 2" xfId="51726" xr:uid="{00000000-0005-0000-0000-0000CDCA0000}"/>
    <cellStyle name="SHADEDSTORES 3 3 3 2 2" xfId="51727" xr:uid="{00000000-0005-0000-0000-0000CECA0000}"/>
    <cellStyle name="SHADEDSTORES 3 3 3 2 2 2" xfId="51728" xr:uid="{00000000-0005-0000-0000-0000CFCA0000}"/>
    <cellStyle name="SHADEDSTORES 3 3 3 2 3" xfId="51729" xr:uid="{00000000-0005-0000-0000-0000D0CA0000}"/>
    <cellStyle name="SHADEDSTORES 3 3 3 3" xfId="51730" xr:uid="{00000000-0005-0000-0000-0000D1CA0000}"/>
    <cellStyle name="SHADEDSTORES 3 3 3 3 2" xfId="51731" xr:uid="{00000000-0005-0000-0000-0000D2CA0000}"/>
    <cellStyle name="SHADEDSTORES 3 3 3 4" xfId="51732" xr:uid="{00000000-0005-0000-0000-0000D3CA0000}"/>
    <cellStyle name="SHADEDSTORES 3 3 4" xfId="51733" xr:uid="{00000000-0005-0000-0000-0000D4CA0000}"/>
    <cellStyle name="SHADEDSTORES 3 3 4 2" xfId="51734" xr:uid="{00000000-0005-0000-0000-0000D5CA0000}"/>
    <cellStyle name="SHADEDSTORES 3 3 4 2 2" xfId="51735" xr:uid="{00000000-0005-0000-0000-0000D6CA0000}"/>
    <cellStyle name="SHADEDSTORES 3 3 4 3" xfId="51736" xr:uid="{00000000-0005-0000-0000-0000D7CA0000}"/>
    <cellStyle name="SHADEDSTORES 3 3 4 3 2" xfId="51737" xr:uid="{00000000-0005-0000-0000-0000D8CA0000}"/>
    <cellStyle name="SHADEDSTORES 3 3 4 4" xfId="51738" xr:uid="{00000000-0005-0000-0000-0000D9CA0000}"/>
    <cellStyle name="SHADEDSTORES 3 3 5" xfId="51739" xr:uid="{00000000-0005-0000-0000-0000DACA0000}"/>
    <cellStyle name="SHADEDSTORES 3 3 5 2" xfId="51740" xr:uid="{00000000-0005-0000-0000-0000DBCA0000}"/>
    <cellStyle name="SHADEDSTORES 3 3 6" xfId="51741" xr:uid="{00000000-0005-0000-0000-0000DCCA0000}"/>
    <cellStyle name="SHADEDSTORES 3 3 6 2" xfId="51742" xr:uid="{00000000-0005-0000-0000-0000DDCA0000}"/>
    <cellStyle name="SHADEDSTORES 3 3 7" xfId="51743" xr:uid="{00000000-0005-0000-0000-0000DECA0000}"/>
    <cellStyle name="SHADEDSTORES 3 4" xfId="51744" xr:uid="{00000000-0005-0000-0000-0000DFCA0000}"/>
    <cellStyle name="SHADEDSTORES 3 4 2" xfId="51745" xr:uid="{00000000-0005-0000-0000-0000E0CA0000}"/>
    <cellStyle name="SHADEDSTORES 3 4 2 2" xfId="51746" xr:uid="{00000000-0005-0000-0000-0000E1CA0000}"/>
    <cellStyle name="SHADEDSTORES 3 4 3" xfId="51747" xr:uid="{00000000-0005-0000-0000-0000E2CA0000}"/>
    <cellStyle name="SHADEDSTORES 3 5" xfId="51748" xr:uid="{00000000-0005-0000-0000-0000E3CA0000}"/>
    <cellStyle name="SHADEDSTORES 3 5 2" xfId="51749" xr:uid="{00000000-0005-0000-0000-0000E4CA0000}"/>
    <cellStyle name="SHADEDSTORES 3 5 2 2" xfId="51750" xr:uid="{00000000-0005-0000-0000-0000E5CA0000}"/>
    <cellStyle name="SHADEDSTORES 3 5 3" xfId="51751" xr:uid="{00000000-0005-0000-0000-0000E6CA0000}"/>
    <cellStyle name="SHADEDSTORES 3 6" xfId="51752" xr:uid="{00000000-0005-0000-0000-0000E7CA0000}"/>
    <cellStyle name="SHADEDSTORES 3 6 2" xfId="51753" xr:uid="{00000000-0005-0000-0000-0000E8CA0000}"/>
    <cellStyle name="SHADEDSTORES 3 6 2 2" xfId="51754" xr:uid="{00000000-0005-0000-0000-0000E9CA0000}"/>
    <cellStyle name="SHADEDSTORES 3 6 2 2 2" xfId="51755" xr:uid="{00000000-0005-0000-0000-0000EACA0000}"/>
    <cellStyle name="SHADEDSTORES 3 6 2 3" xfId="51756" xr:uid="{00000000-0005-0000-0000-0000EBCA0000}"/>
    <cellStyle name="SHADEDSTORES 3 6 3" xfId="51757" xr:uid="{00000000-0005-0000-0000-0000ECCA0000}"/>
    <cellStyle name="SHADEDSTORES 3 6 3 2" xfId="51758" xr:uid="{00000000-0005-0000-0000-0000EDCA0000}"/>
    <cellStyle name="SHADEDSTORES 3 6 4" xfId="51759" xr:uid="{00000000-0005-0000-0000-0000EECA0000}"/>
    <cellStyle name="SHADEDSTORES 3 7" xfId="51760" xr:uid="{00000000-0005-0000-0000-0000EFCA0000}"/>
    <cellStyle name="SHADEDSTORES 3 7 2" xfId="51761" xr:uid="{00000000-0005-0000-0000-0000F0CA0000}"/>
    <cellStyle name="SHADEDSTORES 3 7 2 2" xfId="51762" xr:uid="{00000000-0005-0000-0000-0000F1CA0000}"/>
    <cellStyle name="SHADEDSTORES 3 7 3" xfId="51763" xr:uid="{00000000-0005-0000-0000-0000F2CA0000}"/>
    <cellStyle name="SHADEDSTORES 3 7 3 2" xfId="51764" xr:uid="{00000000-0005-0000-0000-0000F3CA0000}"/>
    <cellStyle name="SHADEDSTORES 3 7 4" xfId="51765" xr:uid="{00000000-0005-0000-0000-0000F4CA0000}"/>
    <cellStyle name="SHADEDSTORES 3 8" xfId="51766" xr:uid="{00000000-0005-0000-0000-0000F5CA0000}"/>
    <cellStyle name="SHADEDSTORES 3 8 2" xfId="51767" xr:uid="{00000000-0005-0000-0000-0000F6CA0000}"/>
    <cellStyle name="SHADEDSTORES 3 9" xfId="51768" xr:uid="{00000000-0005-0000-0000-0000F7CA0000}"/>
    <cellStyle name="SHADEDSTORES 3 9 2" xfId="51769" xr:uid="{00000000-0005-0000-0000-0000F8CA0000}"/>
    <cellStyle name="SHADEDSTORES 4" xfId="51770" xr:uid="{00000000-0005-0000-0000-0000F9CA0000}"/>
    <cellStyle name="SHADEDSTORES 4 10" xfId="51771" xr:uid="{00000000-0005-0000-0000-0000FACA0000}"/>
    <cellStyle name="SHADEDSTORES 4 11" xfId="51772" xr:uid="{00000000-0005-0000-0000-0000FBCA0000}"/>
    <cellStyle name="SHADEDSTORES 4 2" xfId="51773" xr:uid="{00000000-0005-0000-0000-0000FCCA0000}"/>
    <cellStyle name="SHADEDSTORES 4 2 2" xfId="51774" xr:uid="{00000000-0005-0000-0000-0000FDCA0000}"/>
    <cellStyle name="SHADEDSTORES 4 2 2 2" xfId="51775" xr:uid="{00000000-0005-0000-0000-0000FECA0000}"/>
    <cellStyle name="SHADEDSTORES 4 2 2 2 2" xfId="51776" xr:uid="{00000000-0005-0000-0000-0000FFCA0000}"/>
    <cellStyle name="SHADEDSTORES 4 2 2 2 2 2" xfId="51777" xr:uid="{00000000-0005-0000-0000-000000CB0000}"/>
    <cellStyle name="SHADEDSTORES 4 2 2 2 2 2 2" xfId="51778" xr:uid="{00000000-0005-0000-0000-000001CB0000}"/>
    <cellStyle name="SHADEDSTORES 4 2 2 2 2 3" xfId="51779" xr:uid="{00000000-0005-0000-0000-000002CB0000}"/>
    <cellStyle name="SHADEDSTORES 4 2 2 2 3" xfId="51780" xr:uid="{00000000-0005-0000-0000-000003CB0000}"/>
    <cellStyle name="SHADEDSTORES 4 2 2 2 3 2" xfId="51781" xr:uid="{00000000-0005-0000-0000-000004CB0000}"/>
    <cellStyle name="SHADEDSTORES 4 2 2 2 4" xfId="51782" xr:uid="{00000000-0005-0000-0000-000005CB0000}"/>
    <cellStyle name="SHADEDSTORES 4 2 2 3" xfId="51783" xr:uid="{00000000-0005-0000-0000-000006CB0000}"/>
    <cellStyle name="SHADEDSTORES 4 2 2 3 2" xfId="51784" xr:uid="{00000000-0005-0000-0000-000007CB0000}"/>
    <cellStyle name="SHADEDSTORES 4 2 2 3 2 2" xfId="51785" xr:uid="{00000000-0005-0000-0000-000008CB0000}"/>
    <cellStyle name="SHADEDSTORES 4 2 2 3 3" xfId="51786" xr:uid="{00000000-0005-0000-0000-000009CB0000}"/>
    <cellStyle name="SHADEDSTORES 4 2 2 3 3 2" xfId="51787" xr:uid="{00000000-0005-0000-0000-00000ACB0000}"/>
    <cellStyle name="SHADEDSTORES 4 2 2 3 4" xfId="51788" xr:uid="{00000000-0005-0000-0000-00000BCB0000}"/>
    <cellStyle name="SHADEDSTORES 4 2 2 4" xfId="51789" xr:uid="{00000000-0005-0000-0000-00000CCB0000}"/>
    <cellStyle name="SHADEDSTORES 4 2 2 4 2" xfId="51790" xr:uid="{00000000-0005-0000-0000-00000DCB0000}"/>
    <cellStyle name="SHADEDSTORES 4 2 2 5" xfId="51791" xr:uid="{00000000-0005-0000-0000-00000ECB0000}"/>
    <cellStyle name="SHADEDSTORES 4 2 2 5 2" xfId="51792" xr:uid="{00000000-0005-0000-0000-00000FCB0000}"/>
    <cellStyle name="SHADEDSTORES 4 2 2 6" xfId="51793" xr:uid="{00000000-0005-0000-0000-000010CB0000}"/>
    <cellStyle name="SHADEDSTORES 4 2 3" xfId="51794" xr:uid="{00000000-0005-0000-0000-000011CB0000}"/>
    <cellStyle name="SHADEDSTORES 4 2 3 2" xfId="51795" xr:uid="{00000000-0005-0000-0000-000012CB0000}"/>
    <cellStyle name="SHADEDSTORES 4 2 3 2 2" xfId="51796" xr:uid="{00000000-0005-0000-0000-000013CB0000}"/>
    <cellStyle name="SHADEDSTORES 4 2 3 3" xfId="51797" xr:uid="{00000000-0005-0000-0000-000014CB0000}"/>
    <cellStyle name="SHADEDSTORES 4 2 4" xfId="51798" xr:uid="{00000000-0005-0000-0000-000015CB0000}"/>
    <cellStyle name="SHADEDSTORES 4 2 4 2" xfId="51799" xr:uid="{00000000-0005-0000-0000-000016CB0000}"/>
    <cellStyle name="SHADEDSTORES 4 2 4 2 2" xfId="51800" xr:uid="{00000000-0005-0000-0000-000017CB0000}"/>
    <cellStyle name="SHADEDSTORES 4 2 4 3" xfId="51801" xr:uid="{00000000-0005-0000-0000-000018CB0000}"/>
    <cellStyle name="SHADEDSTORES 4 2 5" xfId="51802" xr:uid="{00000000-0005-0000-0000-000019CB0000}"/>
    <cellStyle name="SHADEDSTORES 4 2 5 2" xfId="51803" xr:uid="{00000000-0005-0000-0000-00001ACB0000}"/>
    <cellStyle name="SHADEDSTORES 4 2 5 2 2" xfId="51804" xr:uid="{00000000-0005-0000-0000-00001BCB0000}"/>
    <cellStyle name="SHADEDSTORES 4 2 5 2 2 2" xfId="51805" xr:uid="{00000000-0005-0000-0000-00001CCB0000}"/>
    <cellStyle name="SHADEDSTORES 4 2 5 2 3" xfId="51806" xr:uid="{00000000-0005-0000-0000-00001DCB0000}"/>
    <cellStyle name="SHADEDSTORES 4 2 5 3" xfId="51807" xr:uid="{00000000-0005-0000-0000-00001ECB0000}"/>
    <cellStyle name="SHADEDSTORES 4 2 5 3 2" xfId="51808" xr:uid="{00000000-0005-0000-0000-00001FCB0000}"/>
    <cellStyle name="SHADEDSTORES 4 2 5 4" xfId="51809" xr:uid="{00000000-0005-0000-0000-000020CB0000}"/>
    <cellStyle name="SHADEDSTORES 4 2 6" xfId="51810" xr:uid="{00000000-0005-0000-0000-000021CB0000}"/>
    <cellStyle name="SHADEDSTORES 4 2 6 2" xfId="51811" xr:uid="{00000000-0005-0000-0000-000022CB0000}"/>
    <cellStyle name="SHADEDSTORES 4 2 6 2 2" xfId="51812" xr:uid="{00000000-0005-0000-0000-000023CB0000}"/>
    <cellStyle name="SHADEDSTORES 4 2 6 3" xfId="51813" xr:uid="{00000000-0005-0000-0000-000024CB0000}"/>
    <cellStyle name="SHADEDSTORES 4 2 6 3 2" xfId="51814" xr:uid="{00000000-0005-0000-0000-000025CB0000}"/>
    <cellStyle name="SHADEDSTORES 4 2 6 4" xfId="51815" xr:uid="{00000000-0005-0000-0000-000026CB0000}"/>
    <cellStyle name="SHADEDSTORES 4 2 7" xfId="51816" xr:uid="{00000000-0005-0000-0000-000027CB0000}"/>
    <cellStyle name="SHADEDSTORES 4 2 7 2" xfId="51817" xr:uid="{00000000-0005-0000-0000-000028CB0000}"/>
    <cellStyle name="SHADEDSTORES 4 2 8" xfId="51818" xr:uid="{00000000-0005-0000-0000-000029CB0000}"/>
    <cellStyle name="SHADEDSTORES 4 2 8 2" xfId="51819" xr:uid="{00000000-0005-0000-0000-00002ACB0000}"/>
    <cellStyle name="SHADEDSTORES 4 2 9" xfId="51820" xr:uid="{00000000-0005-0000-0000-00002BCB0000}"/>
    <cellStyle name="SHADEDSTORES 4 3" xfId="51821" xr:uid="{00000000-0005-0000-0000-00002CCB0000}"/>
    <cellStyle name="SHADEDSTORES 4 3 2" xfId="51822" xr:uid="{00000000-0005-0000-0000-00002DCB0000}"/>
    <cellStyle name="SHADEDSTORES 4 3 2 2" xfId="51823" xr:uid="{00000000-0005-0000-0000-00002ECB0000}"/>
    <cellStyle name="SHADEDSTORES 4 3 2 2 2" xfId="51824" xr:uid="{00000000-0005-0000-0000-00002FCB0000}"/>
    <cellStyle name="SHADEDSTORES 4 3 2 2 2 2" xfId="51825" xr:uid="{00000000-0005-0000-0000-000030CB0000}"/>
    <cellStyle name="SHADEDSTORES 4 3 2 2 2 2 2" xfId="51826" xr:uid="{00000000-0005-0000-0000-000031CB0000}"/>
    <cellStyle name="SHADEDSTORES 4 3 2 2 2 3" xfId="51827" xr:uid="{00000000-0005-0000-0000-000032CB0000}"/>
    <cellStyle name="SHADEDSTORES 4 3 2 2 3" xfId="51828" xr:uid="{00000000-0005-0000-0000-000033CB0000}"/>
    <cellStyle name="SHADEDSTORES 4 3 2 2 3 2" xfId="51829" xr:uid="{00000000-0005-0000-0000-000034CB0000}"/>
    <cellStyle name="SHADEDSTORES 4 3 2 2 4" xfId="51830" xr:uid="{00000000-0005-0000-0000-000035CB0000}"/>
    <cellStyle name="SHADEDSTORES 4 3 2 3" xfId="51831" xr:uid="{00000000-0005-0000-0000-000036CB0000}"/>
    <cellStyle name="SHADEDSTORES 4 3 2 3 2" xfId="51832" xr:uid="{00000000-0005-0000-0000-000037CB0000}"/>
    <cellStyle name="SHADEDSTORES 4 3 2 3 2 2" xfId="51833" xr:uid="{00000000-0005-0000-0000-000038CB0000}"/>
    <cellStyle name="SHADEDSTORES 4 3 2 3 3" xfId="51834" xr:uid="{00000000-0005-0000-0000-000039CB0000}"/>
    <cellStyle name="SHADEDSTORES 4 3 2 3 3 2" xfId="51835" xr:uid="{00000000-0005-0000-0000-00003ACB0000}"/>
    <cellStyle name="SHADEDSTORES 4 3 2 3 4" xfId="51836" xr:uid="{00000000-0005-0000-0000-00003BCB0000}"/>
    <cellStyle name="SHADEDSTORES 4 3 2 4" xfId="51837" xr:uid="{00000000-0005-0000-0000-00003CCB0000}"/>
    <cellStyle name="SHADEDSTORES 4 3 2 4 2" xfId="51838" xr:uid="{00000000-0005-0000-0000-00003DCB0000}"/>
    <cellStyle name="SHADEDSTORES 4 3 2 5" xfId="51839" xr:uid="{00000000-0005-0000-0000-00003ECB0000}"/>
    <cellStyle name="SHADEDSTORES 4 3 2 5 2" xfId="51840" xr:uid="{00000000-0005-0000-0000-00003FCB0000}"/>
    <cellStyle name="SHADEDSTORES 4 3 2 6" xfId="51841" xr:uid="{00000000-0005-0000-0000-000040CB0000}"/>
    <cellStyle name="SHADEDSTORES 4 3 3" xfId="51842" xr:uid="{00000000-0005-0000-0000-000041CB0000}"/>
    <cellStyle name="SHADEDSTORES 4 3 3 2" xfId="51843" xr:uid="{00000000-0005-0000-0000-000042CB0000}"/>
    <cellStyle name="SHADEDSTORES 4 3 3 2 2" xfId="51844" xr:uid="{00000000-0005-0000-0000-000043CB0000}"/>
    <cellStyle name="SHADEDSTORES 4 3 3 2 2 2" xfId="51845" xr:uid="{00000000-0005-0000-0000-000044CB0000}"/>
    <cellStyle name="SHADEDSTORES 4 3 3 2 3" xfId="51846" xr:uid="{00000000-0005-0000-0000-000045CB0000}"/>
    <cellStyle name="SHADEDSTORES 4 3 3 3" xfId="51847" xr:uid="{00000000-0005-0000-0000-000046CB0000}"/>
    <cellStyle name="SHADEDSTORES 4 3 3 3 2" xfId="51848" xr:uid="{00000000-0005-0000-0000-000047CB0000}"/>
    <cellStyle name="SHADEDSTORES 4 3 3 4" xfId="51849" xr:uid="{00000000-0005-0000-0000-000048CB0000}"/>
    <cellStyle name="SHADEDSTORES 4 3 4" xfId="51850" xr:uid="{00000000-0005-0000-0000-000049CB0000}"/>
    <cellStyle name="SHADEDSTORES 4 3 4 2" xfId="51851" xr:uid="{00000000-0005-0000-0000-00004ACB0000}"/>
    <cellStyle name="SHADEDSTORES 4 3 4 2 2" xfId="51852" xr:uid="{00000000-0005-0000-0000-00004BCB0000}"/>
    <cellStyle name="SHADEDSTORES 4 3 4 3" xfId="51853" xr:uid="{00000000-0005-0000-0000-00004CCB0000}"/>
    <cellStyle name="SHADEDSTORES 4 3 4 3 2" xfId="51854" xr:uid="{00000000-0005-0000-0000-00004DCB0000}"/>
    <cellStyle name="SHADEDSTORES 4 3 4 4" xfId="51855" xr:uid="{00000000-0005-0000-0000-00004ECB0000}"/>
    <cellStyle name="SHADEDSTORES 4 3 5" xfId="51856" xr:uid="{00000000-0005-0000-0000-00004FCB0000}"/>
    <cellStyle name="SHADEDSTORES 4 3 5 2" xfId="51857" xr:uid="{00000000-0005-0000-0000-000050CB0000}"/>
    <cellStyle name="SHADEDSTORES 4 3 6" xfId="51858" xr:uid="{00000000-0005-0000-0000-000051CB0000}"/>
    <cellStyle name="SHADEDSTORES 4 3 6 2" xfId="51859" xr:uid="{00000000-0005-0000-0000-000052CB0000}"/>
    <cellStyle name="SHADEDSTORES 4 3 7" xfId="51860" xr:uid="{00000000-0005-0000-0000-000053CB0000}"/>
    <cellStyle name="SHADEDSTORES 4 4" xfId="51861" xr:uid="{00000000-0005-0000-0000-000054CB0000}"/>
    <cellStyle name="SHADEDSTORES 4 4 2" xfId="51862" xr:uid="{00000000-0005-0000-0000-000055CB0000}"/>
    <cellStyle name="SHADEDSTORES 4 4 2 2" xfId="51863" xr:uid="{00000000-0005-0000-0000-000056CB0000}"/>
    <cellStyle name="SHADEDSTORES 4 4 3" xfId="51864" xr:uid="{00000000-0005-0000-0000-000057CB0000}"/>
    <cellStyle name="SHADEDSTORES 4 5" xfId="51865" xr:uid="{00000000-0005-0000-0000-000058CB0000}"/>
    <cellStyle name="SHADEDSTORES 4 5 2" xfId="51866" xr:uid="{00000000-0005-0000-0000-000059CB0000}"/>
    <cellStyle name="SHADEDSTORES 4 5 2 2" xfId="51867" xr:uid="{00000000-0005-0000-0000-00005ACB0000}"/>
    <cellStyle name="SHADEDSTORES 4 5 3" xfId="51868" xr:uid="{00000000-0005-0000-0000-00005BCB0000}"/>
    <cellStyle name="SHADEDSTORES 4 6" xfId="51869" xr:uid="{00000000-0005-0000-0000-00005CCB0000}"/>
    <cellStyle name="SHADEDSTORES 4 6 2" xfId="51870" xr:uid="{00000000-0005-0000-0000-00005DCB0000}"/>
    <cellStyle name="SHADEDSTORES 4 6 2 2" xfId="51871" xr:uid="{00000000-0005-0000-0000-00005ECB0000}"/>
    <cellStyle name="SHADEDSTORES 4 6 2 2 2" xfId="51872" xr:uid="{00000000-0005-0000-0000-00005FCB0000}"/>
    <cellStyle name="SHADEDSTORES 4 6 2 3" xfId="51873" xr:uid="{00000000-0005-0000-0000-000060CB0000}"/>
    <cellStyle name="SHADEDSTORES 4 6 3" xfId="51874" xr:uid="{00000000-0005-0000-0000-000061CB0000}"/>
    <cellStyle name="SHADEDSTORES 4 6 3 2" xfId="51875" xr:uid="{00000000-0005-0000-0000-000062CB0000}"/>
    <cellStyle name="SHADEDSTORES 4 6 4" xfId="51876" xr:uid="{00000000-0005-0000-0000-000063CB0000}"/>
    <cellStyle name="SHADEDSTORES 4 7" xfId="51877" xr:uid="{00000000-0005-0000-0000-000064CB0000}"/>
    <cellStyle name="SHADEDSTORES 4 7 2" xfId="51878" xr:uid="{00000000-0005-0000-0000-000065CB0000}"/>
    <cellStyle name="SHADEDSTORES 4 7 2 2" xfId="51879" xr:uid="{00000000-0005-0000-0000-000066CB0000}"/>
    <cellStyle name="SHADEDSTORES 4 7 3" xfId="51880" xr:uid="{00000000-0005-0000-0000-000067CB0000}"/>
    <cellStyle name="SHADEDSTORES 4 7 3 2" xfId="51881" xr:uid="{00000000-0005-0000-0000-000068CB0000}"/>
    <cellStyle name="SHADEDSTORES 4 7 4" xfId="51882" xr:uid="{00000000-0005-0000-0000-000069CB0000}"/>
    <cellStyle name="SHADEDSTORES 4 8" xfId="51883" xr:uid="{00000000-0005-0000-0000-00006ACB0000}"/>
    <cellStyle name="SHADEDSTORES 4 8 2" xfId="51884" xr:uid="{00000000-0005-0000-0000-00006BCB0000}"/>
    <cellStyle name="SHADEDSTORES 4 9" xfId="51885" xr:uid="{00000000-0005-0000-0000-00006CCB0000}"/>
    <cellStyle name="SHADEDSTORES 4 9 2" xfId="51886" xr:uid="{00000000-0005-0000-0000-00006DCB0000}"/>
    <cellStyle name="SHADEDSTORES 5" xfId="51887" xr:uid="{00000000-0005-0000-0000-00006ECB0000}"/>
    <cellStyle name="SHADEDSTORES 5 2" xfId="51888" xr:uid="{00000000-0005-0000-0000-00006FCB0000}"/>
    <cellStyle name="SHADEDSTORES 5 2 2" xfId="51889" xr:uid="{00000000-0005-0000-0000-000070CB0000}"/>
    <cellStyle name="SHADEDSTORES 5 2 2 2" xfId="51890" xr:uid="{00000000-0005-0000-0000-000071CB0000}"/>
    <cellStyle name="SHADEDSTORES 5 2 2 2 2" xfId="51891" xr:uid="{00000000-0005-0000-0000-000072CB0000}"/>
    <cellStyle name="SHADEDSTORES 5 2 2 2 2 2" xfId="51892" xr:uid="{00000000-0005-0000-0000-000073CB0000}"/>
    <cellStyle name="SHADEDSTORES 5 2 2 2 3" xfId="51893" xr:uid="{00000000-0005-0000-0000-000074CB0000}"/>
    <cellStyle name="SHADEDSTORES 5 2 2 3" xfId="51894" xr:uid="{00000000-0005-0000-0000-000075CB0000}"/>
    <cellStyle name="SHADEDSTORES 5 2 2 3 2" xfId="51895" xr:uid="{00000000-0005-0000-0000-000076CB0000}"/>
    <cellStyle name="SHADEDSTORES 5 2 2 4" xfId="51896" xr:uid="{00000000-0005-0000-0000-000077CB0000}"/>
    <cellStyle name="SHADEDSTORES 5 2 3" xfId="51897" xr:uid="{00000000-0005-0000-0000-000078CB0000}"/>
    <cellStyle name="SHADEDSTORES 5 2 3 2" xfId="51898" xr:uid="{00000000-0005-0000-0000-000079CB0000}"/>
    <cellStyle name="SHADEDSTORES 5 2 3 2 2" xfId="51899" xr:uid="{00000000-0005-0000-0000-00007ACB0000}"/>
    <cellStyle name="SHADEDSTORES 5 2 3 3" xfId="51900" xr:uid="{00000000-0005-0000-0000-00007BCB0000}"/>
    <cellStyle name="SHADEDSTORES 5 2 3 3 2" xfId="51901" xr:uid="{00000000-0005-0000-0000-00007CCB0000}"/>
    <cellStyle name="SHADEDSTORES 5 2 3 4" xfId="51902" xr:uid="{00000000-0005-0000-0000-00007DCB0000}"/>
    <cellStyle name="SHADEDSTORES 5 2 4" xfId="51903" xr:uid="{00000000-0005-0000-0000-00007ECB0000}"/>
    <cellStyle name="SHADEDSTORES 5 2 4 2" xfId="51904" xr:uid="{00000000-0005-0000-0000-00007FCB0000}"/>
    <cellStyle name="SHADEDSTORES 5 2 5" xfId="51905" xr:uid="{00000000-0005-0000-0000-000080CB0000}"/>
    <cellStyle name="SHADEDSTORES 5 2 5 2" xfId="51906" xr:uid="{00000000-0005-0000-0000-000081CB0000}"/>
    <cellStyle name="SHADEDSTORES 5 2 6" xfId="51907" xr:uid="{00000000-0005-0000-0000-000082CB0000}"/>
    <cellStyle name="SHADEDSTORES 5 3" xfId="51908" xr:uid="{00000000-0005-0000-0000-000083CB0000}"/>
    <cellStyle name="SHADEDSTORES 5 3 2" xfId="51909" xr:uid="{00000000-0005-0000-0000-000084CB0000}"/>
    <cellStyle name="SHADEDSTORES 5 3 2 2" xfId="51910" xr:uid="{00000000-0005-0000-0000-000085CB0000}"/>
    <cellStyle name="SHADEDSTORES 5 3 3" xfId="51911" xr:uid="{00000000-0005-0000-0000-000086CB0000}"/>
    <cellStyle name="SHADEDSTORES 5 4" xfId="51912" xr:uid="{00000000-0005-0000-0000-000087CB0000}"/>
    <cellStyle name="SHADEDSTORES 5 4 2" xfId="51913" xr:uid="{00000000-0005-0000-0000-000088CB0000}"/>
    <cellStyle name="SHADEDSTORES 5 4 2 2" xfId="51914" xr:uid="{00000000-0005-0000-0000-000089CB0000}"/>
    <cellStyle name="SHADEDSTORES 5 4 3" xfId="51915" xr:uid="{00000000-0005-0000-0000-00008ACB0000}"/>
    <cellStyle name="SHADEDSTORES 5 5" xfId="51916" xr:uid="{00000000-0005-0000-0000-00008BCB0000}"/>
    <cellStyle name="SHADEDSTORES 5 5 2" xfId="51917" xr:uid="{00000000-0005-0000-0000-00008CCB0000}"/>
    <cellStyle name="SHADEDSTORES 5 5 2 2" xfId="51918" xr:uid="{00000000-0005-0000-0000-00008DCB0000}"/>
    <cellStyle name="SHADEDSTORES 5 5 2 2 2" xfId="51919" xr:uid="{00000000-0005-0000-0000-00008ECB0000}"/>
    <cellStyle name="SHADEDSTORES 5 5 2 3" xfId="51920" xr:uid="{00000000-0005-0000-0000-00008FCB0000}"/>
    <cellStyle name="SHADEDSTORES 5 5 3" xfId="51921" xr:uid="{00000000-0005-0000-0000-000090CB0000}"/>
    <cellStyle name="SHADEDSTORES 5 5 3 2" xfId="51922" xr:uid="{00000000-0005-0000-0000-000091CB0000}"/>
    <cellStyle name="SHADEDSTORES 5 5 4" xfId="51923" xr:uid="{00000000-0005-0000-0000-000092CB0000}"/>
    <cellStyle name="SHADEDSTORES 5 6" xfId="51924" xr:uid="{00000000-0005-0000-0000-000093CB0000}"/>
    <cellStyle name="SHADEDSTORES 5 6 2" xfId="51925" xr:uid="{00000000-0005-0000-0000-000094CB0000}"/>
    <cellStyle name="SHADEDSTORES 5 6 2 2" xfId="51926" xr:uid="{00000000-0005-0000-0000-000095CB0000}"/>
    <cellStyle name="SHADEDSTORES 5 6 3" xfId="51927" xr:uid="{00000000-0005-0000-0000-000096CB0000}"/>
    <cellStyle name="SHADEDSTORES 5 6 3 2" xfId="51928" xr:uid="{00000000-0005-0000-0000-000097CB0000}"/>
    <cellStyle name="SHADEDSTORES 5 6 4" xfId="51929" xr:uid="{00000000-0005-0000-0000-000098CB0000}"/>
    <cellStyle name="SHADEDSTORES 5 7" xfId="51930" xr:uid="{00000000-0005-0000-0000-000099CB0000}"/>
    <cellStyle name="SHADEDSTORES 5 7 2" xfId="51931" xr:uid="{00000000-0005-0000-0000-00009ACB0000}"/>
    <cellStyle name="SHADEDSTORES 5 8" xfId="51932" xr:uid="{00000000-0005-0000-0000-00009BCB0000}"/>
    <cellStyle name="SHADEDSTORES 5 8 2" xfId="51933" xr:uid="{00000000-0005-0000-0000-00009CCB0000}"/>
    <cellStyle name="SHADEDSTORES 5 9" xfId="51934" xr:uid="{00000000-0005-0000-0000-00009DCB0000}"/>
    <cellStyle name="SHADEDSTORES 6" xfId="51935" xr:uid="{00000000-0005-0000-0000-00009ECB0000}"/>
    <cellStyle name="SHADEDSTORES 6 2" xfId="51936" xr:uid="{00000000-0005-0000-0000-00009FCB0000}"/>
    <cellStyle name="SHADEDSTORES 6 2 2" xfId="51937" xr:uid="{00000000-0005-0000-0000-0000A0CB0000}"/>
    <cellStyle name="SHADEDSTORES 6 2 2 2" xfId="51938" xr:uid="{00000000-0005-0000-0000-0000A1CB0000}"/>
    <cellStyle name="SHADEDSTORES 6 2 2 2 2" xfId="51939" xr:uid="{00000000-0005-0000-0000-0000A2CB0000}"/>
    <cellStyle name="SHADEDSTORES 6 2 2 2 2 2" xfId="51940" xr:uid="{00000000-0005-0000-0000-0000A3CB0000}"/>
    <cellStyle name="SHADEDSTORES 6 2 2 2 3" xfId="51941" xr:uid="{00000000-0005-0000-0000-0000A4CB0000}"/>
    <cellStyle name="SHADEDSTORES 6 2 2 3" xfId="51942" xr:uid="{00000000-0005-0000-0000-0000A5CB0000}"/>
    <cellStyle name="SHADEDSTORES 6 2 2 3 2" xfId="51943" xr:uid="{00000000-0005-0000-0000-0000A6CB0000}"/>
    <cellStyle name="SHADEDSTORES 6 2 2 4" xfId="51944" xr:uid="{00000000-0005-0000-0000-0000A7CB0000}"/>
    <cellStyle name="SHADEDSTORES 6 2 3" xfId="51945" xr:uid="{00000000-0005-0000-0000-0000A8CB0000}"/>
    <cellStyle name="SHADEDSTORES 6 2 3 2" xfId="51946" xr:uid="{00000000-0005-0000-0000-0000A9CB0000}"/>
    <cellStyle name="SHADEDSTORES 6 2 3 2 2" xfId="51947" xr:uid="{00000000-0005-0000-0000-0000AACB0000}"/>
    <cellStyle name="SHADEDSTORES 6 2 3 3" xfId="51948" xr:uid="{00000000-0005-0000-0000-0000ABCB0000}"/>
    <cellStyle name="SHADEDSTORES 6 2 3 3 2" xfId="51949" xr:uid="{00000000-0005-0000-0000-0000ACCB0000}"/>
    <cellStyle name="SHADEDSTORES 6 2 3 4" xfId="51950" xr:uid="{00000000-0005-0000-0000-0000ADCB0000}"/>
    <cellStyle name="SHADEDSTORES 6 2 4" xfId="51951" xr:uid="{00000000-0005-0000-0000-0000AECB0000}"/>
    <cellStyle name="SHADEDSTORES 6 2 4 2" xfId="51952" xr:uid="{00000000-0005-0000-0000-0000AFCB0000}"/>
    <cellStyle name="SHADEDSTORES 6 2 5" xfId="51953" xr:uid="{00000000-0005-0000-0000-0000B0CB0000}"/>
    <cellStyle name="SHADEDSTORES 6 2 5 2" xfId="51954" xr:uid="{00000000-0005-0000-0000-0000B1CB0000}"/>
    <cellStyle name="SHADEDSTORES 6 2 6" xfId="51955" xr:uid="{00000000-0005-0000-0000-0000B2CB0000}"/>
    <cellStyle name="SHADEDSTORES 6 3" xfId="51956" xr:uid="{00000000-0005-0000-0000-0000B3CB0000}"/>
    <cellStyle name="SHADEDSTORES 6 3 2" xfId="51957" xr:uid="{00000000-0005-0000-0000-0000B4CB0000}"/>
    <cellStyle name="SHADEDSTORES 6 3 2 2" xfId="51958" xr:uid="{00000000-0005-0000-0000-0000B5CB0000}"/>
    <cellStyle name="SHADEDSTORES 6 3 2 2 2" xfId="51959" xr:uid="{00000000-0005-0000-0000-0000B6CB0000}"/>
    <cellStyle name="SHADEDSTORES 6 3 2 3" xfId="51960" xr:uid="{00000000-0005-0000-0000-0000B7CB0000}"/>
    <cellStyle name="SHADEDSTORES 6 3 3" xfId="51961" xr:uid="{00000000-0005-0000-0000-0000B8CB0000}"/>
    <cellStyle name="SHADEDSTORES 6 3 3 2" xfId="51962" xr:uid="{00000000-0005-0000-0000-0000B9CB0000}"/>
    <cellStyle name="SHADEDSTORES 6 3 4" xfId="51963" xr:uid="{00000000-0005-0000-0000-0000BACB0000}"/>
    <cellStyle name="SHADEDSTORES 6 4" xfId="51964" xr:uid="{00000000-0005-0000-0000-0000BBCB0000}"/>
    <cellStyle name="SHADEDSTORES 6 4 2" xfId="51965" xr:uid="{00000000-0005-0000-0000-0000BCCB0000}"/>
    <cellStyle name="SHADEDSTORES 6 4 2 2" xfId="51966" xr:uid="{00000000-0005-0000-0000-0000BDCB0000}"/>
    <cellStyle name="SHADEDSTORES 6 4 3" xfId="51967" xr:uid="{00000000-0005-0000-0000-0000BECB0000}"/>
    <cellStyle name="SHADEDSTORES 6 4 3 2" xfId="51968" xr:uid="{00000000-0005-0000-0000-0000BFCB0000}"/>
    <cellStyle name="SHADEDSTORES 6 4 4" xfId="51969" xr:uid="{00000000-0005-0000-0000-0000C0CB0000}"/>
    <cellStyle name="SHADEDSTORES 6 5" xfId="51970" xr:uid="{00000000-0005-0000-0000-0000C1CB0000}"/>
    <cellStyle name="SHADEDSTORES 6 5 2" xfId="51971" xr:uid="{00000000-0005-0000-0000-0000C2CB0000}"/>
    <cellStyle name="SHADEDSTORES 6 6" xfId="51972" xr:uid="{00000000-0005-0000-0000-0000C3CB0000}"/>
    <cellStyle name="SHADEDSTORES 6 6 2" xfId="51973" xr:uid="{00000000-0005-0000-0000-0000C4CB0000}"/>
    <cellStyle name="SHADEDSTORES 6 7" xfId="51974" xr:uid="{00000000-0005-0000-0000-0000C5CB0000}"/>
    <cellStyle name="SHADEDSTORES 7" xfId="51975" xr:uid="{00000000-0005-0000-0000-0000C6CB0000}"/>
    <cellStyle name="SHADEDSTORES 7 2" xfId="51976" xr:uid="{00000000-0005-0000-0000-0000C7CB0000}"/>
    <cellStyle name="SHADEDSTORES 7 2 2" xfId="51977" xr:uid="{00000000-0005-0000-0000-0000C8CB0000}"/>
    <cellStyle name="SHADEDSTORES 7 3" xfId="51978" xr:uid="{00000000-0005-0000-0000-0000C9CB0000}"/>
    <cellStyle name="SHADEDSTORES 8" xfId="51979" xr:uid="{00000000-0005-0000-0000-0000CACB0000}"/>
    <cellStyle name="SHADEDSTORES 8 2" xfId="51980" xr:uid="{00000000-0005-0000-0000-0000CBCB0000}"/>
    <cellStyle name="SHADEDSTORES 8 2 2" xfId="51981" xr:uid="{00000000-0005-0000-0000-0000CCCB0000}"/>
    <cellStyle name="SHADEDSTORES 8 3" xfId="51982" xr:uid="{00000000-0005-0000-0000-0000CDCB0000}"/>
    <cellStyle name="SHADEDSTORES 9" xfId="51983" xr:uid="{00000000-0005-0000-0000-0000CECB0000}"/>
    <cellStyle name="SHADEDSTORES 9 2" xfId="51984" xr:uid="{00000000-0005-0000-0000-0000CFCB0000}"/>
    <cellStyle name="SHADEDSTORES 9 2 2" xfId="51985" xr:uid="{00000000-0005-0000-0000-0000D0CB0000}"/>
    <cellStyle name="SHADEDSTORES 9 2 2 2" xfId="51986" xr:uid="{00000000-0005-0000-0000-0000D1CB0000}"/>
    <cellStyle name="SHADEDSTORES 9 2 2 2 2" xfId="51987" xr:uid="{00000000-0005-0000-0000-0000D2CB0000}"/>
    <cellStyle name="SHADEDSTORES 9 2 2 3" xfId="51988" xr:uid="{00000000-0005-0000-0000-0000D3CB0000}"/>
    <cellStyle name="SHADEDSTORES 9 2 3" xfId="51989" xr:uid="{00000000-0005-0000-0000-0000D4CB0000}"/>
    <cellStyle name="SHADEDSTORES 9 2 3 2" xfId="51990" xr:uid="{00000000-0005-0000-0000-0000D5CB0000}"/>
    <cellStyle name="SHADEDSTORES 9 2 4" xfId="51991" xr:uid="{00000000-0005-0000-0000-0000D6CB0000}"/>
    <cellStyle name="SHADEDSTORES 9 3" xfId="51992" xr:uid="{00000000-0005-0000-0000-0000D7CB0000}"/>
    <cellStyle name="SHADEDSTORES 9 3 2" xfId="51993" xr:uid="{00000000-0005-0000-0000-0000D8CB0000}"/>
    <cellStyle name="SHADEDSTORES 9 3 2 2" xfId="51994" xr:uid="{00000000-0005-0000-0000-0000D9CB0000}"/>
    <cellStyle name="SHADEDSTORES 9 3 3" xfId="51995" xr:uid="{00000000-0005-0000-0000-0000DACB0000}"/>
    <cellStyle name="SHADEDSTORES 9 3 3 2" xfId="51996" xr:uid="{00000000-0005-0000-0000-0000DBCB0000}"/>
    <cellStyle name="SHADEDSTORES 9 3 4" xfId="51997" xr:uid="{00000000-0005-0000-0000-0000DCCB0000}"/>
    <cellStyle name="SHADEDSTORES 9 4" xfId="51998" xr:uid="{00000000-0005-0000-0000-0000DDCB0000}"/>
    <cellStyle name="SHADEDSTORES 9 4 2" xfId="51999" xr:uid="{00000000-0005-0000-0000-0000DECB0000}"/>
    <cellStyle name="SHADEDSTORES 9 5" xfId="52000" xr:uid="{00000000-0005-0000-0000-0000DFCB0000}"/>
    <cellStyle name="SHADEDSTORES 9 5 2" xfId="52001" xr:uid="{00000000-0005-0000-0000-0000E0CB0000}"/>
    <cellStyle name="SHADEDSTORES 9 6" xfId="52002" xr:uid="{00000000-0005-0000-0000-0000E1CB0000}"/>
    <cellStyle name="Sheet Title" xfId="79" xr:uid="{00000000-0005-0000-0000-0000E2CB0000}"/>
    <cellStyle name="Sheet Title 10" xfId="52003" xr:uid="{00000000-0005-0000-0000-0000E3CB0000}"/>
    <cellStyle name="Sheet Title 2" xfId="52004" xr:uid="{00000000-0005-0000-0000-0000E4CB0000}"/>
    <cellStyle name="Sheet Title 2 2" xfId="52005" xr:uid="{00000000-0005-0000-0000-0000E5CB0000}"/>
    <cellStyle name="Sheet Title 2 2 2" xfId="52006" xr:uid="{00000000-0005-0000-0000-0000E6CB0000}"/>
    <cellStyle name="Sheet Title 2 2 2 2" xfId="52007" xr:uid="{00000000-0005-0000-0000-0000E7CB0000}"/>
    <cellStyle name="Sheet Title 2 2 3" xfId="52008" xr:uid="{00000000-0005-0000-0000-0000E8CB0000}"/>
    <cellStyle name="Sheet Title 2 2 3 2" xfId="52009" xr:uid="{00000000-0005-0000-0000-0000E9CB0000}"/>
    <cellStyle name="Sheet Title 2 2 3 2 2" xfId="52010" xr:uid="{00000000-0005-0000-0000-0000EACB0000}"/>
    <cellStyle name="Sheet Title 2 2 3 3" xfId="52011" xr:uid="{00000000-0005-0000-0000-0000EBCB0000}"/>
    <cellStyle name="Sheet Title 2 2 4" xfId="52012" xr:uid="{00000000-0005-0000-0000-0000ECCB0000}"/>
    <cellStyle name="Sheet Title 2 2 4 2" xfId="52013" xr:uid="{00000000-0005-0000-0000-0000EDCB0000}"/>
    <cellStyle name="Sheet Title 2 2 4 2 2" xfId="52014" xr:uid="{00000000-0005-0000-0000-0000EECB0000}"/>
    <cellStyle name="Sheet Title 2 2 4 3" xfId="52015" xr:uid="{00000000-0005-0000-0000-0000EFCB0000}"/>
    <cellStyle name="Sheet Title 2 2 5" xfId="52016" xr:uid="{00000000-0005-0000-0000-0000F0CB0000}"/>
    <cellStyle name="Sheet Title 2 3" xfId="52017" xr:uid="{00000000-0005-0000-0000-0000F1CB0000}"/>
    <cellStyle name="Sheet Title 2 3 2" xfId="52018" xr:uid="{00000000-0005-0000-0000-0000F2CB0000}"/>
    <cellStyle name="Sheet Title 2 3 2 2" xfId="52019" xr:uid="{00000000-0005-0000-0000-0000F3CB0000}"/>
    <cellStyle name="Sheet Title 2 3 2 2 2" xfId="52020" xr:uid="{00000000-0005-0000-0000-0000F4CB0000}"/>
    <cellStyle name="Sheet Title 2 3 2 3" xfId="52021" xr:uid="{00000000-0005-0000-0000-0000F5CB0000}"/>
    <cellStyle name="Sheet Title 2 3 2 3 2" xfId="52022" xr:uid="{00000000-0005-0000-0000-0000F6CB0000}"/>
    <cellStyle name="Sheet Title 2 3 2 3 2 2" xfId="52023" xr:uid="{00000000-0005-0000-0000-0000F7CB0000}"/>
    <cellStyle name="Sheet Title 2 3 2 3 3" xfId="52024" xr:uid="{00000000-0005-0000-0000-0000F8CB0000}"/>
    <cellStyle name="Sheet Title 2 3 2 4" xfId="52025" xr:uid="{00000000-0005-0000-0000-0000F9CB0000}"/>
    <cellStyle name="Sheet Title 2 3 3" xfId="52026" xr:uid="{00000000-0005-0000-0000-0000FACB0000}"/>
    <cellStyle name="Sheet Title 2 3 3 2" xfId="52027" xr:uid="{00000000-0005-0000-0000-0000FBCB0000}"/>
    <cellStyle name="Sheet Title 2 3 3 2 2" xfId="52028" xr:uid="{00000000-0005-0000-0000-0000FCCB0000}"/>
    <cellStyle name="Sheet Title 2 3 3 3" xfId="52029" xr:uid="{00000000-0005-0000-0000-0000FDCB0000}"/>
    <cellStyle name="Sheet Title 2 3 4" xfId="52030" xr:uid="{00000000-0005-0000-0000-0000FECB0000}"/>
    <cellStyle name="Sheet Title 2 3 4 2" xfId="52031" xr:uid="{00000000-0005-0000-0000-0000FFCB0000}"/>
    <cellStyle name="Sheet Title 2 3 4 2 2" xfId="52032" xr:uid="{00000000-0005-0000-0000-000000CC0000}"/>
    <cellStyle name="Sheet Title 2 3 4 3" xfId="52033" xr:uid="{00000000-0005-0000-0000-000001CC0000}"/>
    <cellStyle name="Sheet Title 2 3 5" xfId="52034" xr:uid="{00000000-0005-0000-0000-000002CC0000}"/>
    <cellStyle name="Sheet Title 2 3 5 2" xfId="52035" xr:uid="{00000000-0005-0000-0000-000003CC0000}"/>
    <cellStyle name="Sheet Title 2 3 5 2 2" xfId="52036" xr:uid="{00000000-0005-0000-0000-000004CC0000}"/>
    <cellStyle name="Sheet Title 2 3 5 3" xfId="52037" xr:uid="{00000000-0005-0000-0000-000005CC0000}"/>
    <cellStyle name="Sheet Title 2 3 6" xfId="52038" xr:uid="{00000000-0005-0000-0000-000006CC0000}"/>
    <cellStyle name="Sheet Title 2 4" xfId="52039" xr:uid="{00000000-0005-0000-0000-000007CC0000}"/>
    <cellStyle name="Sheet Title 2 4 2" xfId="52040" xr:uid="{00000000-0005-0000-0000-000008CC0000}"/>
    <cellStyle name="Sheet Title 2 4 2 2" xfId="52041" xr:uid="{00000000-0005-0000-0000-000009CC0000}"/>
    <cellStyle name="Sheet Title 2 4 3" xfId="52042" xr:uid="{00000000-0005-0000-0000-00000ACC0000}"/>
    <cellStyle name="Sheet Title 2 5" xfId="52043" xr:uid="{00000000-0005-0000-0000-00000BCC0000}"/>
    <cellStyle name="Sheet Title 2 5 2" xfId="52044" xr:uid="{00000000-0005-0000-0000-00000CCC0000}"/>
    <cellStyle name="Sheet Title 2 5 2 2" xfId="52045" xr:uid="{00000000-0005-0000-0000-00000DCC0000}"/>
    <cellStyle name="Sheet Title 2 5 3" xfId="52046" xr:uid="{00000000-0005-0000-0000-00000ECC0000}"/>
    <cellStyle name="Sheet Title 2 6" xfId="52047" xr:uid="{00000000-0005-0000-0000-00000FCC0000}"/>
    <cellStyle name="Sheet Title 2 6 2" xfId="52048" xr:uid="{00000000-0005-0000-0000-000010CC0000}"/>
    <cellStyle name="Sheet Title 2 6 2 2" xfId="52049" xr:uid="{00000000-0005-0000-0000-000011CC0000}"/>
    <cellStyle name="Sheet Title 2 6 3" xfId="52050" xr:uid="{00000000-0005-0000-0000-000012CC0000}"/>
    <cellStyle name="Sheet Title 2 7" xfId="52051" xr:uid="{00000000-0005-0000-0000-000013CC0000}"/>
    <cellStyle name="Sheet Title 3" xfId="52052" xr:uid="{00000000-0005-0000-0000-000014CC0000}"/>
    <cellStyle name="Sheet Title 3 2" xfId="52053" xr:uid="{00000000-0005-0000-0000-000015CC0000}"/>
    <cellStyle name="Sheet Title 3 2 2" xfId="52054" xr:uid="{00000000-0005-0000-0000-000016CC0000}"/>
    <cellStyle name="Sheet Title 3 2 2 2" xfId="52055" xr:uid="{00000000-0005-0000-0000-000017CC0000}"/>
    <cellStyle name="Sheet Title 3 2 3" xfId="52056" xr:uid="{00000000-0005-0000-0000-000018CC0000}"/>
    <cellStyle name="Sheet Title 3 2 3 2" xfId="52057" xr:uid="{00000000-0005-0000-0000-000019CC0000}"/>
    <cellStyle name="Sheet Title 3 2 3 2 2" xfId="52058" xr:uid="{00000000-0005-0000-0000-00001ACC0000}"/>
    <cellStyle name="Sheet Title 3 2 3 3" xfId="52059" xr:uid="{00000000-0005-0000-0000-00001BCC0000}"/>
    <cellStyle name="Sheet Title 3 2 4" xfId="52060" xr:uid="{00000000-0005-0000-0000-00001CCC0000}"/>
    <cellStyle name="Sheet Title 3 2 4 2" xfId="52061" xr:uid="{00000000-0005-0000-0000-00001DCC0000}"/>
    <cellStyle name="Sheet Title 3 2 4 2 2" xfId="52062" xr:uid="{00000000-0005-0000-0000-00001ECC0000}"/>
    <cellStyle name="Sheet Title 3 2 4 3" xfId="52063" xr:uid="{00000000-0005-0000-0000-00001FCC0000}"/>
    <cellStyle name="Sheet Title 3 2 5" xfId="52064" xr:uid="{00000000-0005-0000-0000-000020CC0000}"/>
    <cellStyle name="Sheet Title 3 3" xfId="52065" xr:uid="{00000000-0005-0000-0000-000021CC0000}"/>
    <cellStyle name="Sheet Title 3 3 2" xfId="52066" xr:uid="{00000000-0005-0000-0000-000022CC0000}"/>
    <cellStyle name="Sheet Title 3 3 2 2" xfId="52067" xr:uid="{00000000-0005-0000-0000-000023CC0000}"/>
    <cellStyle name="Sheet Title 3 3 3" xfId="52068" xr:uid="{00000000-0005-0000-0000-000024CC0000}"/>
    <cellStyle name="Sheet Title 3 4" xfId="52069" xr:uid="{00000000-0005-0000-0000-000025CC0000}"/>
    <cellStyle name="Sheet Title 3 4 2" xfId="52070" xr:uid="{00000000-0005-0000-0000-000026CC0000}"/>
    <cellStyle name="Sheet Title 3 4 2 2" xfId="52071" xr:uid="{00000000-0005-0000-0000-000027CC0000}"/>
    <cellStyle name="Sheet Title 3 4 3" xfId="52072" xr:uid="{00000000-0005-0000-0000-000028CC0000}"/>
    <cellStyle name="Sheet Title 3 5" xfId="52073" xr:uid="{00000000-0005-0000-0000-000029CC0000}"/>
    <cellStyle name="Sheet Title 3 5 2" xfId="52074" xr:uid="{00000000-0005-0000-0000-00002ACC0000}"/>
    <cellStyle name="Sheet Title 3 5 2 2" xfId="52075" xr:uid="{00000000-0005-0000-0000-00002BCC0000}"/>
    <cellStyle name="Sheet Title 3 5 3" xfId="52076" xr:uid="{00000000-0005-0000-0000-00002CCC0000}"/>
    <cellStyle name="Sheet Title 3 6" xfId="52077" xr:uid="{00000000-0005-0000-0000-00002DCC0000}"/>
    <cellStyle name="Sheet Title 4" xfId="52078" xr:uid="{00000000-0005-0000-0000-00002ECC0000}"/>
    <cellStyle name="Sheet Title 4 2" xfId="52079" xr:uid="{00000000-0005-0000-0000-00002FCC0000}"/>
    <cellStyle name="Sheet Title 4 2 2" xfId="52080" xr:uid="{00000000-0005-0000-0000-000030CC0000}"/>
    <cellStyle name="Sheet Title 4 3" xfId="52081" xr:uid="{00000000-0005-0000-0000-000031CC0000}"/>
    <cellStyle name="Sheet Title 4 3 2" xfId="52082" xr:uid="{00000000-0005-0000-0000-000032CC0000}"/>
    <cellStyle name="Sheet Title 4 3 2 2" xfId="52083" xr:uid="{00000000-0005-0000-0000-000033CC0000}"/>
    <cellStyle name="Sheet Title 4 3 3" xfId="52084" xr:uid="{00000000-0005-0000-0000-000034CC0000}"/>
    <cellStyle name="Sheet Title 4 4" xfId="52085" xr:uid="{00000000-0005-0000-0000-000035CC0000}"/>
    <cellStyle name="Sheet Title 4 4 2" xfId="52086" xr:uid="{00000000-0005-0000-0000-000036CC0000}"/>
    <cellStyle name="Sheet Title 4 4 2 2" xfId="52087" xr:uid="{00000000-0005-0000-0000-000037CC0000}"/>
    <cellStyle name="Sheet Title 4 4 3" xfId="52088" xr:uid="{00000000-0005-0000-0000-000038CC0000}"/>
    <cellStyle name="Sheet Title 4 5" xfId="52089" xr:uid="{00000000-0005-0000-0000-000039CC0000}"/>
    <cellStyle name="Sheet Title 5" xfId="52090" xr:uid="{00000000-0005-0000-0000-00003ACC0000}"/>
    <cellStyle name="Sheet Title 5 2" xfId="52091" xr:uid="{00000000-0005-0000-0000-00003BCC0000}"/>
    <cellStyle name="Sheet Title 5 2 2" xfId="52092" xr:uid="{00000000-0005-0000-0000-00003CCC0000}"/>
    <cellStyle name="Sheet Title 5 3" xfId="52093" xr:uid="{00000000-0005-0000-0000-00003DCC0000}"/>
    <cellStyle name="Sheet Title 6" xfId="52094" xr:uid="{00000000-0005-0000-0000-00003ECC0000}"/>
    <cellStyle name="Sheet Title 6 2" xfId="52095" xr:uid="{00000000-0005-0000-0000-00003FCC0000}"/>
    <cellStyle name="Sheet Title 6 2 2" xfId="52096" xr:uid="{00000000-0005-0000-0000-000040CC0000}"/>
    <cellStyle name="Sheet Title 6 3" xfId="52097" xr:uid="{00000000-0005-0000-0000-000041CC0000}"/>
    <cellStyle name="Sheet Title 7" xfId="52098" xr:uid="{00000000-0005-0000-0000-000042CC0000}"/>
    <cellStyle name="Sheet Title 7 2" xfId="52099" xr:uid="{00000000-0005-0000-0000-000043CC0000}"/>
    <cellStyle name="Sheet Title 7 2 2" xfId="52100" xr:uid="{00000000-0005-0000-0000-000044CC0000}"/>
    <cellStyle name="Sheet Title 7 3" xfId="52101" xr:uid="{00000000-0005-0000-0000-000045CC0000}"/>
    <cellStyle name="Sheet Title 8" xfId="52102" xr:uid="{00000000-0005-0000-0000-000046CC0000}"/>
    <cellStyle name="Sheet Title 8 2" xfId="52103" xr:uid="{00000000-0005-0000-0000-000047CC0000}"/>
    <cellStyle name="Sheet Title 9" xfId="52104" xr:uid="{00000000-0005-0000-0000-000048CC0000}"/>
    <cellStyle name="specstores" xfId="52105" xr:uid="{00000000-0005-0000-0000-000049CC0000}"/>
    <cellStyle name="specstores 10" xfId="52106" xr:uid="{00000000-0005-0000-0000-00004ACC0000}"/>
    <cellStyle name="specstores 2" xfId="52107" xr:uid="{00000000-0005-0000-0000-00004BCC0000}"/>
    <cellStyle name="specstores 2 2" xfId="52108" xr:uid="{00000000-0005-0000-0000-00004CCC0000}"/>
    <cellStyle name="specstores 2 2 2" xfId="52109" xr:uid="{00000000-0005-0000-0000-00004DCC0000}"/>
    <cellStyle name="specstores 2 2 2 2" xfId="52110" xr:uid="{00000000-0005-0000-0000-00004ECC0000}"/>
    <cellStyle name="specstores 2 2 3" xfId="52111" xr:uid="{00000000-0005-0000-0000-00004FCC0000}"/>
    <cellStyle name="specstores 2 2 3 2" xfId="52112" xr:uid="{00000000-0005-0000-0000-000050CC0000}"/>
    <cellStyle name="specstores 2 2 3 2 2" xfId="52113" xr:uid="{00000000-0005-0000-0000-000051CC0000}"/>
    <cellStyle name="specstores 2 2 3 3" xfId="52114" xr:uid="{00000000-0005-0000-0000-000052CC0000}"/>
    <cellStyle name="specstores 2 2 4" xfId="52115" xr:uid="{00000000-0005-0000-0000-000053CC0000}"/>
    <cellStyle name="specstores 2 2 4 2" xfId="52116" xr:uid="{00000000-0005-0000-0000-000054CC0000}"/>
    <cellStyle name="specstores 2 2 4 2 2" xfId="52117" xr:uid="{00000000-0005-0000-0000-000055CC0000}"/>
    <cellStyle name="specstores 2 2 4 3" xfId="52118" xr:uid="{00000000-0005-0000-0000-000056CC0000}"/>
    <cellStyle name="specstores 2 2 5" xfId="52119" xr:uid="{00000000-0005-0000-0000-000057CC0000}"/>
    <cellStyle name="specstores 2 3" xfId="52120" xr:uid="{00000000-0005-0000-0000-000058CC0000}"/>
    <cellStyle name="specstores 2 3 2" xfId="52121" xr:uid="{00000000-0005-0000-0000-000059CC0000}"/>
    <cellStyle name="specstores 2 3 2 2" xfId="52122" xr:uid="{00000000-0005-0000-0000-00005ACC0000}"/>
    <cellStyle name="specstores 2 3 2 2 2" xfId="52123" xr:uid="{00000000-0005-0000-0000-00005BCC0000}"/>
    <cellStyle name="specstores 2 3 2 3" xfId="52124" xr:uid="{00000000-0005-0000-0000-00005CCC0000}"/>
    <cellStyle name="specstores 2 3 2 3 2" xfId="52125" xr:uid="{00000000-0005-0000-0000-00005DCC0000}"/>
    <cellStyle name="specstores 2 3 2 3 2 2" xfId="52126" xr:uid="{00000000-0005-0000-0000-00005ECC0000}"/>
    <cellStyle name="specstores 2 3 2 3 3" xfId="52127" xr:uid="{00000000-0005-0000-0000-00005FCC0000}"/>
    <cellStyle name="specstores 2 3 2 4" xfId="52128" xr:uid="{00000000-0005-0000-0000-000060CC0000}"/>
    <cellStyle name="specstores 2 3 3" xfId="52129" xr:uid="{00000000-0005-0000-0000-000061CC0000}"/>
    <cellStyle name="specstores 2 3 3 2" xfId="52130" xr:uid="{00000000-0005-0000-0000-000062CC0000}"/>
    <cellStyle name="specstores 2 3 3 2 2" xfId="52131" xr:uid="{00000000-0005-0000-0000-000063CC0000}"/>
    <cellStyle name="specstores 2 3 3 3" xfId="52132" xr:uid="{00000000-0005-0000-0000-000064CC0000}"/>
    <cellStyle name="specstores 2 3 4" xfId="52133" xr:uid="{00000000-0005-0000-0000-000065CC0000}"/>
    <cellStyle name="specstores 2 3 4 2" xfId="52134" xr:uid="{00000000-0005-0000-0000-000066CC0000}"/>
    <cellStyle name="specstores 2 3 4 2 2" xfId="52135" xr:uid="{00000000-0005-0000-0000-000067CC0000}"/>
    <cellStyle name="specstores 2 3 4 3" xfId="52136" xr:uid="{00000000-0005-0000-0000-000068CC0000}"/>
    <cellStyle name="specstores 2 3 5" xfId="52137" xr:uid="{00000000-0005-0000-0000-000069CC0000}"/>
    <cellStyle name="specstores 2 3 5 2" xfId="52138" xr:uid="{00000000-0005-0000-0000-00006ACC0000}"/>
    <cellStyle name="specstores 2 3 5 2 2" xfId="52139" xr:uid="{00000000-0005-0000-0000-00006BCC0000}"/>
    <cellStyle name="specstores 2 3 5 3" xfId="52140" xr:uid="{00000000-0005-0000-0000-00006CCC0000}"/>
    <cellStyle name="specstores 2 3 6" xfId="52141" xr:uid="{00000000-0005-0000-0000-00006DCC0000}"/>
    <cellStyle name="specstores 2 4" xfId="52142" xr:uid="{00000000-0005-0000-0000-00006ECC0000}"/>
    <cellStyle name="specstores 2 4 2" xfId="52143" xr:uid="{00000000-0005-0000-0000-00006FCC0000}"/>
    <cellStyle name="specstores 2 4 2 2" xfId="52144" xr:uid="{00000000-0005-0000-0000-000070CC0000}"/>
    <cellStyle name="specstores 2 4 3" xfId="52145" xr:uid="{00000000-0005-0000-0000-000071CC0000}"/>
    <cellStyle name="specstores 2 5" xfId="52146" xr:uid="{00000000-0005-0000-0000-000072CC0000}"/>
    <cellStyle name="specstores 2 5 2" xfId="52147" xr:uid="{00000000-0005-0000-0000-000073CC0000}"/>
    <cellStyle name="specstores 2 5 2 2" xfId="52148" xr:uid="{00000000-0005-0000-0000-000074CC0000}"/>
    <cellStyle name="specstores 2 5 3" xfId="52149" xr:uid="{00000000-0005-0000-0000-000075CC0000}"/>
    <cellStyle name="specstores 2 6" xfId="52150" xr:uid="{00000000-0005-0000-0000-000076CC0000}"/>
    <cellStyle name="specstores 2 6 2" xfId="52151" xr:uid="{00000000-0005-0000-0000-000077CC0000}"/>
    <cellStyle name="specstores 2 6 2 2" xfId="52152" xr:uid="{00000000-0005-0000-0000-000078CC0000}"/>
    <cellStyle name="specstores 2 6 3" xfId="52153" xr:uid="{00000000-0005-0000-0000-000079CC0000}"/>
    <cellStyle name="specstores 2 7" xfId="52154" xr:uid="{00000000-0005-0000-0000-00007ACC0000}"/>
    <cellStyle name="specstores 3" xfId="52155" xr:uid="{00000000-0005-0000-0000-00007BCC0000}"/>
    <cellStyle name="specstores 3 2" xfId="52156" xr:uid="{00000000-0005-0000-0000-00007CCC0000}"/>
    <cellStyle name="specstores 3 2 2" xfId="52157" xr:uid="{00000000-0005-0000-0000-00007DCC0000}"/>
    <cellStyle name="specstores 3 2 2 2" xfId="52158" xr:uid="{00000000-0005-0000-0000-00007ECC0000}"/>
    <cellStyle name="specstores 3 2 3" xfId="52159" xr:uid="{00000000-0005-0000-0000-00007FCC0000}"/>
    <cellStyle name="specstores 3 2 3 2" xfId="52160" xr:uid="{00000000-0005-0000-0000-000080CC0000}"/>
    <cellStyle name="specstores 3 2 3 2 2" xfId="52161" xr:uid="{00000000-0005-0000-0000-000081CC0000}"/>
    <cellStyle name="specstores 3 2 3 3" xfId="52162" xr:uid="{00000000-0005-0000-0000-000082CC0000}"/>
    <cellStyle name="specstores 3 2 4" xfId="52163" xr:uid="{00000000-0005-0000-0000-000083CC0000}"/>
    <cellStyle name="specstores 3 2 4 2" xfId="52164" xr:uid="{00000000-0005-0000-0000-000084CC0000}"/>
    <cellStyle name="specstores 3 2 4 2 2" xfId="52165" xr:uid="{00000000-0005-0000-0000-000085CC0000}"/>
    <cellStyle name="specstores 3 2 4 3" xfId="52166" xr:uid="{00000000-0005-0000-0000-000086CC0000}"/>
    <cellStyle name="specstores 3 2 5" xfId="52167" xr:uid="{00000000-0005-0000-0000-000087CC0000}"/>
    <cellStyle name="specstores 3 3" xfId="52168" xr:uid="{00000000-0005-0000-0000-000088CC0000}"/>
    <cellStyle name="specstores 3 3 2" xfId="52169" xr:uid="{00000000-0005-0000-0000-000089CC0000}"/>
    <cellStyle name="specstores 3 3 2 2" xfId="52170" xr:uid="{00000000-0005-0000-0000-00008ACC0000}"/>
    <cellStyle name="specstores 3 3 3" xfId="52171" xr:uid="{00000000-0005-0000-0000-00008BCC0000}"/>
    <cellStyle name="specstores 3 4" xfId="52172" xr:uid="{00000000-0005-0000-0000-00008CCC0000}"/>
    <cellStyle name="specstores 3 4 2" xfId="52173" xr:uid="{00000000-0005-0000-0000-00008DCC0000}"/>
    <cellStyle name="specstores 3 4 2 2" xfId="52174" xr:uid="{00000000-0005-0000-0000-00008ECC0000}"/>
    <cellStyle name="specstores 3 4 3" xfId="52175" xr:uid="{00000000-0005-0000-0000-00008FCC0000}"/>
    <cellStyle name="specstores 3 5" xfId="52176" xr:uid="{00000000-0005-0000-0000-000090CC0000}"/>
    <cellStyle name="specstores 3 5 2" xfId="52177" xr:uid="{00000000-0005-0000-0000-000091CC0000}"/>
    <cellStyle name="specstores 3 5 2 2" xfId="52178" xr:uid="{00000000-0005-0000-0000-000092CC0000}"/>
    <cellStyle name="specstores 3 5 3" xfId="52179" xr:uid="{00000000-0005-0000-0000-000093CC0000}"/>
    <cellStyle name="specstores 3 6" xfId="52180" xr:uid="{00000000-0005-0000-0000-000094CC0000}"/>
    <cellStyle name="specstores 4" xfId="52181" xr:uid="{00000000-0005-0000-0000-000095CC0000}"/>
    <cellStyle name="specstores 4 2" xfId="52182" xr:uid="{00000000-0005-0000-0000-000096CC0000}"/>
    <cellStyle name="specstores 4 2 2" xfId="52183" xr:uid="{00000000-0005-0000-0000-000097CC0000}"/>
    <cellStyle name="specstores 4 2 2 2" xfId="52184" xr:uid="{00000000-0005-0000-0000-000098CC0000}"/>
    <cellStyle name="specstores 4 2 3" xfId="52185" xr:uid="{00000000-0005-0000-0000-000099CC0000}"/>
    <cellStyle name="specstores 4 2 3 2" xfId="52186" xr:uid="{00000000-0005-0000-0000-00009ACC0000}"/>
    <cellStyle name="specstores 4 2 3 2 2" xfId="52187" xr:uid="{00000000-0005-0000-0000-00009BCC0000}"/>
    <cellStyle name="specstores 4 2 3 3" xfId="52188" xr:uid="{00000000-0005-0000-0000-00009CCC0000}"/>
    <cellStyle name="specstores 4 2 4" xfId="52189" xr:uid="{00000000-0005-0000-0000-00009DCC0000}"/>
    <cellStyle name="specstores 4 2 4 2" xfId="52190" xr:uid="{00000000-0005-0000-0000-00009ECC0000}"/>
    <cellStyle name="specstores 4 2 4 2 2" xfId="52191" xr:uid="{00000000-0005-0000-0000-00009FCC0000}"/>
    <cellStyle name="specstores 4 2 4 3" xfId="52192" xr:uid="{00000000-0005-0000-0000-0000A0CC0000}"/>
    <cellStyle name="specstores 4 2 5" xfId="52193" xr:uid="{00000000-0005-0000-0000-0000A1CC0000}"/>
    <cellStyle name="specstores 4 3" xfId="52194" xr:uid="{00000000-0005-0000-0000-0000A2CC0000}"/>
    <cellStyle name="specstores 4 3 2" xfId="52195" xr:uid="{00000000-0005-0000-0000-0000A3CC0000}"/>
    <cellStyle name="specstores 4 3 2 2" xfId="52196" xr:uid="{00000000-0005-0000-0000-0000A4CC0000}"/>
    <cellStyle name="specstores 4 3 3" xfId="52197" xr:uid="{00000000-0005-0000-0000-0000A5CC0000}"/>
    <cellStyle name="specstores 4 4" xfId="52198" xr:uid="{00000000-0005-0000-0000-0000A6CC0000}"/>
    <cellStyle name="specstores 4 4 2" xfId="52199" xr:uid="{00000000-0005-0000-0000-0000A7CC0000}"/>
    <cellStyle name="specstores 4 4 2 2" xfId="52200" xr:uid="{00000000-0005-0000-0000-0000A8CC0000}"/>
    <cellStyle name="specstores 4 4 3" xfId="52201" xr:uid="{00000000-0005-0000-0000-0000A9CC0000}"/>
    <cellStyle name="specstores 4 5" xfId="52202" xr:uid="{00000000-0005-0000-0000-0000AACC0000}"/>
    <cellStyle name="specstores 4 5 2" xfId="52203" xr:uid="{00000000-0005-0000-0000-0000ABCC0000}"/>
    <cellStyle name="specstores 4 5 2 2" xfId="52204" xr:uid="{00000000-0005-0000-0000-0000ACCC0000}"/>
    <cellStyle name="specstores 4 5 3" xfId="52205" xr:uid="{00000000-0005-0000-0000-0000ADCC0000}"/>
    <cellStyle name="specstores 4 6" xfId="52206" xr:uid="{00000000-0005-0000-0000-0000AECC0000}"/>
    <cellStyle name="specstores 5" xfId="52207" xr:uid="{00000000-0005-0000-0000-0000AFCC0000}"/>
    <cellStyle name="specstores 5 2" xfId="52208" xr:uid="{00000000-0005-0000-0000-0000B0CC0000}"/>
    <cellStyle name="specstores 5 2 2" xfId="52209" xr:uid="{00000000-0005-0000-0000-0000B1CC0000}"/>
    <cellStyle name="specstores 5 3" xfId="52210" xr:uid="{00000000-0005-0000-0000-0000B2CC0000}"/>
    <cellStyle name="specstores 5 3 2" xfId="52211" xr:uid="{00000000-0005-0000-0000-0000B3CC0000}"/>
    <cellStyle name="specstores 5 3 2 2" xfId="52212" xr:uid="{00000000-0005-0000-0000-0000B4CC0000}"/>
    <cellStyle name="specstores 5 3 3" xfId="52213" xr:uid="{00000000-0005-0000-0000-0000B5CC0000}"/>
    <cellStyle name="specstores 5 4" xfId="52214" xr:uid="{00000000-0005-0000-0000-0000B6CC0000}"/>
    <cellStyle name="specstores 5 4 2" xfId="52215" xr:uid="{00000000-0005-0000-0000-0000B7CC0000}"/>
    <cellStyle name="specstores 5 4 2 2" xfId="52216" xr:uid="{00000000-0005-0000-0000-0000B8CC0000}"/>
    <cellStyle name="specstores 5 4 3" xfId="52217" xr:uid="{00000000-0005-0000-0000-0000B9CC0000}"/>
    <cellStyle name="specstores 5 5" xfId="52218" xr:uid="{00000000-0005-0000-0000-0000BACC0000}"/>
    <cellStyle name="specstores 6" xfId="52219" xr:uid="{00000000-0005-0000-0000-0000BBCC0000}"/>
    <cellStyle name="specstores 6 2" xfId="52220" xr:uid="{00000000-0005-0000-0000-0000BCCC0000}"/>
    <cellStyle name="specstores 6 2 2" xfId="52221" xr:uid="{00000000-0005-0000-0000-0000BDCC0000}"/>
    <cellStyle name="specstores 6 3" xfId="52222" xr:uid="{00000000-0005-0000-0000-0000BECC0000}"/>
    <cellStyle name="specstores 7" xfId="52223" xr:uid="{00000000-0005-0000-0000-0000BFCC0000}"/>
    <cellStyle name="specstores 7 2" xfId="52224" xr:uid="{00000000-0005-0000-0000-0000C0CC0000}"/>
    <cellStyle name="specstores 7 2 2" xfId="52225" xr:uid="{00000000-0005-0000-0000-0000C1CC0000}"/>
    <cellStyle name="specstores 7 3" xfId="52226" xr:uid="{00000000-0005-0000-0000-0000C2CC0000}"/>
    <cellStyle name="specstores 8" xfId="52227" xr:uid="{00000000-0005-0000-0000-0000C3CC0000}"/>
    <cellStyle name="specstores 8 2" xfId="52228" xr:uid="{00000000-0005-0000-0000-0000C4CC0000}"/>
    <cellStyle name="specstores 8 2 2" xfId="52229" xr:uid="{00000000-0005-0000-0000-0000C5CC0000}"/>
    <cellStyle name="specstores 8 3" xfId="52230" xr:uid="{00000000-0005-0000-0000-0000C6CC0000}"/>
    <cellStyle name="specstores 9" xfId="52231" xr:uid="{00000000-0005-0000-0000-0000C7CC0000}"/>
    <cellStyle name="specstores 9 2" xfId="52232" xr:uid="{00000000-0005-0000-0000-0000C8CC0000}"/>
    <cellStyle name="StrategyDependent" xfId="52233" xr:uid="{00000000-0005-0000-0000-0000C9CC0000}"/>
    <cellStyle name="StrategyDependent 2" xfId="52234" xr:uid="{00000000-0005-0000-0000-0000CACC0000}"/>
    <cellStyle name="StrategyDependent 2 2" xfId="52235" xr:uid="{00000000-0005-0000-0000-0000CBCC0000}"/>
    <cellStyle name="StrategyDependent 3" xfId="52236" xr:uid="{00000000-0005-0000-0000-0000CCCC0000}"/>
    <cellStyle name="StrategyDependent 3 2" xfId="52237" xr:uid="{00000000-0005-0000-0000-0000CDCC0000}"/>
    <cellStyle name="StrategyDependent 3 2 2" xfId="52238" xr:uid="{00000000-0005-0000-0000-0000CECC0000}"/>
    <cellStyle name="StrategyDependent 3 3" xfId="52239" xr:uid="{00000000-0005-0000-0000-0000CFCC0000}"/>
    <cellStyle name="StrategyDependent 4" xfId="52240" xr:uid="{00000000-0005-0000-0000-0000D0CC0000}"/>
    <cellStyle name="StrategyDependent 4 2" xfId="52241" xr:uid="{00000000-0005-0000-0000-0000D1CC0000}"/>
    <cellStyle name="StrategyDependent 4 2 2" xfId="52242" xr:uid="{00000000-0005-0000-0000-0000D2CC0000}"/>
    <cellStyle name="StrategyDependent 4 3" xfId="52243" xr:uid="{00000000-0005-0000-0000-0000D3CC0000}"/>
    <cellStyle name="StrategyDependent 5" xfId="52244" xr:uid="{00000000-0005-0000-0000-0000D4CC0000}"/>
    <cellStyle name="Style 1" xfId="52245" xr:uid="{00000000-0005-0000-0000-0000D5CC0000}"/>
    <cellStyle name="Style 1 2" xfId="52246" xr:uid="{00000000-0005-0000-0000-0000D6CC0000}"/>
    <cellStyle name="Style 1 2 2" xfId="52247" xr:uid="{00000000-0005-0000-0000-0000D7CC0000}"/>
    <cellStyle name="Style 1 2 3" xfId="52248" xr:uid="{00000000-0005-0000-0000-0000D8CC0000}"/>
    <cellStyle name="Style 1 2 3 2" xfId="52249" xr:uid="{00000000-0005-0000-0000-0000D9CC0000}"/>
    <cellStyle name="Style 1 2 3 2 2" xfId="52250" xr:uid="{00000000-0005-0000-0000-0000DACC0000}"/>
    <cellStyle name="Style 1 2 3 3" xfId="52251" xr:uid="{00000000-0005-0000-0000-0000DBCC0000}"/>
    <cellStyle name="Style 1 2 4" xfId="52252" xr:uid="{00000000-0005-0000-0000-0000DCCC0000}"/>
    <cellStyle name="Style 1 2 4 2" xfId="52253" xr:uid="{00000000-0005-0000-0000-0000DDCC0000}"/>
    <cellStyle name="Style 1 2 4 2 2" xfId="52254" xr:uid="{00000000-0005-0000-0000-0000DECC0000}"/>
    <cellStyle name="Style 1 2 4 3" xfId="52255" xr:uid="{00000000-0005-0000-0000-0000DFCC0000}"/>
    <cellStyle name="Style 1 3" xfId="52256" xr:uid="{00000000-0005-0000-0000-0000E0CC0000}"/>
    <cellStyle name="Style 1 4" xfId="52257" xr:uid="{00000000-0005-0000-0000-0000E1CC0000}"/>
    <cellStyle name="Style 1 4 2" xfId="52258" xr:uid="{00000000-0005-0000-0000-0000E2CC0000}"/>
    <cellStyle name="Style 1 4 2 2" xfId="52259" xr:uid="{00000000-0005-0000-0000-0000E3CC0000}"/>
    <cellStyle name="Style 1 4 3" xfId="52260" xr:uid="{00000000-0005-0000-0000-0000E4CC0000}"/>
    <cellStyle name="Style 1 5" xfId="52261" xr:uid="{00000000-0005-0000-0000-0000E5CC0000}"/>
    <cellStyle name="Style 1 5 2" xfId="52262" xr:uid="{00000000-0005-0000-0000-0000E6CC0000}"/>
    <cellStyle name="Style 1 5 2 2" xfId="52263" xr:uid="{00000000-0005-0000-0000-0000E7CC0000}"/>
    <cellStyle name="Style 1 5 3" xfId="52264" xr:uid="{00000000-0005-0000-0000-0000E8CC0000}"/>
    <cellStyle name="Subtotal" xfId="52265" xr:uid="{00000000-0005-0000-0000-0000E9CC0000}"/>
    <cellStyle name="Subtotal 2" xfId="52266" xr:uid="{00000000-0005-0000-0000-0000EACC0000}"/>
    <cellStyle name="Subtotal 3" xfId="52267" xr:uid="{00000000-0005-0000-0000-0000EBCC0000}"/>
    <cellStyle name="Subtotal 3 2" xfId="52268" xr:uid="{00000000-0005-0000-0000-0000ECCC0000}"/>
    <cellStyle name="Subtotal 3 2 2" xfId="52269" xr:uid="{00000000-0005-0000-0000-0000EDCC0000}"/>
    <cellStyle name="Subtotal 3 3" xfId="52270" xr:uid="{00000000-0005-0000-0000-0000EECC0000}"/>
    <cellStyle name="Subtotal 4" xfId="52271" xr:uid="{00000000-0005-0000-0000-0000EFCC0000}"/>
    <cellStyle name="Subtotal 4 2" xfId="52272" xr:uid="{00000000-0005-0000-0000-0000F0CC0000}"/>
    <cellStyle name="Subtotal 4 2 2" xfId="52273" xr:uid="{00000000-0005-0000-0000-0000F1CC0000}"/>
    <cellStyle name="Subtotal 4 3" xfId="52274" xr:uid="{00000000-0005-0000-0000-0000F2CC0000}"/>
    <cellStyle name="Task" xfId="52275" xr:uid="{00000000-0005-0000-0000-0000F3CC0000}"/>
    <cellStyle name="Task 2" xfId="52276" xr:uid="{00000000-0005-0000-0000-0000F4CC0000}"/>
    <cellStyle name="Task 3" xfId="52277" xr:uid="{00000000-0005-0000-0000-0000F5CC0000}"/>
    <cellStyle name="Task 3 2" xfId="52278" xr:uid="{00000000-0005-0000-0000-0000F6CC0000}"/>
    <cellStyle name="Task 3 2 2" xfId="52279" xr:uid="{00000000-0005-0000-0000-0000F7CC0000}"/>
    <cellStyle name="Task 3 3" xfId="52280" xr:uid="{00000000-0005-0000-0000-0000F8CC0000}"/>
    <cellStyle name="Task 4" xfId="52281" xr:uid="{00000000-0005-0000-0000-0000F9CC0000}"/>
    <cellStyle name="Task 4 2" xfId="52282" xr:uid="{00000000-0005-0000-0000-0000FACC0000}"/>
    <cellStyle name="Task 4 2 2" xfId="52283" xr:uid="{00000000-0005-0000-0000-0000FBCC0000}"/>
    <cellStyle name="Task 4 3" xfId="52284" xr:uid="{00000000-0005-0000-0000-0000FCCC0000}"/>
    <cellStyle name="Temp" xfId="52285" xr:uid="{00000000-0005-0000-0000-0000FDCC0000}"/>
    <cellStyle name="Temp 2" xfId="52286" xr:uid="{00000000-0005-0000-0000-0000FECC0000}"/>
    <cellStyle name="Temp 2 2" xfId="52287" xr:uid="{00000000-0005-0000-0000-0000FFCC0000}"/>
    <cellStyle name="Temp 3" xfId="52288" xr:uid="{00000000-0005-0000-0000-000000CD0000}"/>
    <cellStyle name="Temp 3 2" xfId="52289" xr:uid="{00000000-0005-0000-0000-000001CD0000}"/>
    <cellStyle name="Temp 3 2 2" xfId="52290" xr:uid="{00000000-0005-0000-0000-000002CD0000}"/>
    <cellStyle name="Temp 3 3" xfId="52291" xr:uid="{00000000-0005-0000-0000-000003CD0000}"/>
    <cellStyle name="Temp 4" xfId="52292" xr:uid="{00000000-0005-0000-0000-000004CD0000}"/>
    <cellStyle name="Temp 4 2" xfId="52293" xr:uid="{00000000-0005-0000-0000-000005CD0000}"/>
    <cellStyle name="Temp 4 2 2" xfId="52294" xr:uid="{00000000-0005-0000-0000-000006CD0000}"/>
    <cellStyle name="Temp 4 3" xfId="52295" xr:uid="{00000000-0005-0000-0000-000007CD0000}"/>
    <cellStyle name="Temp 5" xfId="52296" xr:uid="{00000000-0005-0000-0000-000008CD0000}"/>
    <cellStyle name="Title 2" xfId="52297" xr:uid="{00000000-0005-0000-0000-000009CD0000}"/>
    <cellStyle name="Title 2 10" xfId="52298" xr:uid="{00000000-0005-0000-0000-00000ACD0000}"/>
    <cellStyle name="Title 2 10 2" xfId="52299" xr:uid="{00000000-0005-0000-0000-00000BCD0000}"/>
    <cellStyle name="Title 2 10 2 2" xfId="52300" xr:uid="{00000000-0005-0000-0000-00000CCD0000}"/>
    <cellStyle name="Title 2 10 3" xfId="52301" xr:uid="{00000000-0005-0000-0000-00000DCD0000}"/>
    <cellStyle name="Title 2 11" xfId="52302" xr:uid="{00000000-0005-0000-0000-00000ECD0000}"/>
    <cellStyle name="Title 2 11 2" xfId="52303" xr:uid="{00000000-0005-0000-0000-00000FCD0000}"/>
    <cellStyle name="Title 2 11 2 2" xfId="52304" xr:uid="{00000000-0005-0000-0000-000010CD0000}"/>
    <cellStyle name="Title 2 11 3" xfId="52305" xr:uid="{00000000-0005-0000-0000-000011CD0000}"/>
    <cellStyle name="Title 2 12" xfId="52306" xr:uid="{00000000-0005-0000-0000-000012CD0000}"/>
    <cellStyle name="Title 2 12 2" xfId="52307" xr:uid="{00000000-0005-0000-0000-000013CD0000}"/>
    <cellStyle name="Title 2 12 2 2" xfId="52308" xr:uid="{00000000-0005-0000-0000-000014CD0000}"/>
    <cellStyle name="Title 2 12 3" xfId="52309" xr:uid="{00000000-0005-0000-0000-000015CD0000}"/>
    <cellStyle name="Title 2 13" xfId="52310" xr:uid="{00000000-0005-0000-0000-000016CD0000}"/>
    <cellStyle name="Title 2 2" xfId="52311" xr:uid="{00000000-0005-0000-0000-000017CD0000}"/>
    <cellStyle name="Title 2 2 2" xfId="52312" xr:uid="{00000000-0005-0000-0000-000018CD0000}"/>
    <cellStyle name="Title 2 2 2 2" xfId="52313" xr:uid="{00000000-0005-0000-0000-000019CD0000}"/>
    <cellStyle name="Title 2 2 2 2 2" xfId="52314" xr:uid="{00000000-0005-0000-0000-00001ACD0000}"/>
    <cellStyle name="Title 2 2 2 3" xfId="52315" xr:uid="{00000000-0005-0000-0000-00001BCD0000}"/>
    <cellStyle name="Title 2 2 2 3 2" xfId="52316" xr:uid="{00000000-0005-0000-0000-00001CCD0000}"/>
    <cellStyle name="Title 2 2 2 3 2 2" xfId="52317" xr:uid="{00000000-0005-0000-0000-00001DCD0000}"/>
    <cellStyle name="Title 2 2 2 3 3" xfId="52318" xr:uid="{00000000-0005-0000-0000-00001ECD0000}"/>
    <cellStyle name="Title 2 2 2 4" xfId="52319" xr:uid="{00000000-0005-0000-0000-00001FCD0000}"/>
    <cellStyle name="Title 2 2 2 4 2" xfId="52320" xr:uid="{00000000-0005-0000-0000-000020CD0000}"/>
    <cellStyle name="Title 2 2 2 4 2 2" xfId="52321" xr:uid="{00000000-0005-0000-0000-000021CD0000}"/>
    <cellStyle name="Title 2 2 2 4 3" xfId="52322" xr:uid="{00000000-0005-0000-0000-000022CD0000}"/>
    <cellStyle name="Title 2 2 2 5" xfId="52323" xr:uid="{00000000-0005-0000-0000-000023CD0000}"/>
    <cellStyle name="Title 2 2 3" xfId="52324" xr:uid="{00000000-0005-0000-0000-000024CD0000}"/>
    <cellStyle name="Title 2 2 3 2" xfId="52325" xr:uid="{00000000-0005-0000-0000-000025CD0000}"/>
    <cellStyle name="Title 2 2 3 2 2" xfId="52326" xr:uid="{00000000-0005-0000-0000-000026CD0000}"/>
    <cellStyle name="Title 2 2 3 2 2 2" xfId="52327" xr:uid="{00000000-0005-0000-0000-000027CD0000}"/>
    <cellStyle name="Title 2 2 3 2 3" xfId="52328" xr:uid="{00000000-0005-0000-0000-000028CD0000}"/>
    <cellStyle name="Title 2 2 3 2 3 2" xfId="52329" xr:uid="{00000000-0005-0000-0000-000029CD0000}"/>
    <cellStyle name="Title 2 2 3 2 3 2 2" xfId="52330" xr:uid="{00000000-0005-0000-0000-00002ACD0000}"/>
    <cellStyle name="Title 2 2 3 2 3 3" xfId="52331" xr:uid="{00000000-0005-0000-0000-00002BCD0000}"/>
    <cellStyle name="Title 2 2 3 2 4" xfId="52332" xr:uid="{00000000-0005-0000-0000-00002CCD0000}"/>
    <cellStyle name="Title 2 2 3 3" xfId="52333" xr:uid="{00000000-0005-0000-0000-00002DCD0000}"/>
    <cellStyle name="Title 2 2 3 3 2" xfId="52334" xr:uid="{00000000-0005-0000-0000-00002ECD0000}"/>
    <cellStyle name="Title 2 2 3 3 2 2" xfId="52335" xr:uid="{00000000-0005-0000-0000-00002FCD0000}"/>
    <cellStyle name="Title 2 2 3 3 3" xfId="52336" xr:uid="{00000000-0005-0000-0000-000030CD0000}"/>
    <cellStyle name="Title 2 2 3 4" xfId="52337" xr:uid="{00000000-0005-0000-0000-000031CD0000}"/>
    <cellStyle name="Title 2 2 3 4 2" xfId="52338" xr:uid="{00000000-0005-0000-0000-000032CD0000}"/>
    <cellStyle name="Title 2 2 3 4 2 2" xfId="52339" xr:uid="{00000000-0005-0000-0000-000033CD0000}"/>
    <cellStyle name="Title 2 2 3 4 3" xfId="52340" xr:uid="{00000000-0005-0000-0000-000034CD0000}"/>
    <cellStyle name="Title 2 2 3 5" xfId="52341" xr:uid="{00000000-0005-0000-0000-000035CD0000}"/>
    <cellStyle name="Title 2 2 3 5 2" xfId="52342" xr:uid="{00000000-0005-0000-0000-000036CD0000}"/>
    <cellStyle name="Title 2 2 3 5 2 2" xfId="52343" xr:uid="{00000000-0005-0000-0000-000037CD0000}"/>
    <cellStyle name="Title 2 2 3 5 3" xfId="52344" xr:uid="{00000000-0005-0000-0000-000038CD0000}"/>
    <cellStyle name="Title 2 2 3 6" xfId="52345" xr:uid="{00000000-0005-0000-0000-000039CD0000}"/>
    <cellStyle name="Title 2 2 4" xfId="52346" xr:uid="{00000000-0005-0000-0000-00003ACD0000}"/>
    <cellStyle name="Title 2 2 4 2" xfId="52347" xr:uid="{00000000-0005-0000-0000-00003BCD0000}"/>
    <cellStyle name="Title 2 2 4 2 2" xfId="52348" xr:uid="{00000000-0005-0000-0000-00003CCD0000}"/>
    <cellStyle name="Title 2 2 4 3" xfId="52349" xr:uid="{00000000-0005-0000-0000-00003DCD0000}"/>
    <cellStyle name="Title 2 2 5" xfId="52350" xr:uid="{00000000-0005-0000-0000-00003ECD0000}"/>
    <cellStyle name="Title 2 2 5 2" xfId="52351" xr:uid="{00000000-0005-0000-0000-00003FCD0000}"/>
    <cellStyle name="Title 2 2 5 2 2" xfId="52352" xr:uid="{00000000-0005-0000-0000-000040CD0000}"/>
    <cellStyle name="Title 2 2 5 3" xfId="52353" xr:uid="{00000000-0005-0000-0000-000041CD0000}"/>
    <cellStyle name="Title 2 2 6" xfId="52354" xr:uid="{00000000-0005-0000-0000-000042CD0000}"/>
    <cellStyle name="Title 2 2 6 2" xfId="52355" xr:uid="{00000000-0005-0000-0000-000043CD0000}"/>
    <cellStyle name="Title 2 2 6 2 2" xfId="52356" xr:uid="{00000000-0005-0000-0000-000044CD0000}"/>
    <cellStyle name="Title 2 2 6 3" xfId="52357" xr:uid="{00000000-0005-0000-0000-000045CD0000}"/>
    <cellStyle name="Title 2 2 7" xfId="52358" xr:uid="{00000000-0005-0000-0000-000046CD0000}"/>
    <cellStyle name="Title 2 3" xfId="52359" xr:uid="{00000000-0005-0000-0000-000047CD0000}"/>
    <cellStyle name="Title 2 3 2" xfId="52360" xr:uid="{00000000-0005-0000-0000-000048CD0000}"/>
    <cellStyle name="Title 2 3 2 2" xfId="52361" xr:uid="{00000000-0005-0000-0000-000049CD0000}"/>
    <cellStyle name="Title 2 3 2 2 2" xfId="52362" xr:uid="{00000000-0005-0000-0000-00004ACD0000}"/>
    <cellStyle name="Title 2 3 2 3" xfId="52363" xr:uid="{00000000-0005-0000-0000-00004BCD0000}"/>
    <cellStyle name="Title 2 3 2 3 2" xfId="52364" xr:uid="{00000000-0005-0000-0000-00004CCD0000}"/>
    <cellStyle name="Title 2 3 2 3 2 2" xfId="52365" xr:uid="{00000000-0005-0000-0000-00004DCD0000}"/>
    <cellStyle name="Title 2 3 2 3 3" xfId="52366" xr:uid="{00000000-0005-0000-0000-00004ECD0000}"/>
    <cellStyle name="Title 2 3 2 4" xfId="52367" xr:uid="{00000000-0005-0000-0000-00004FCD0000}"/>
    <cellStyle name="Title 2 3 2 4 2" xfId="52368" xr:uid="{00000000-0005-0000-0000-000050CD0000}"/>
    <cellStyle name="Title 2 3 2 4 2 2" xfId="52369" xr:uid="{00000000-0005-0000-0000-000051CD0000}"/>
    <cellStyle name="Title 2 3 2 4 3" xfId="52370" xr:uid="{00000000-0005-0000-0000-000052CD0000}"/>
    <cellStyle name="Title 2 3 2 5" xfId="52371" xr:uid="{00000000-0005-0000-0000-000053CD0000}"/>
    <cellStyle name="Title 2 3 3" xfId="52372" xr:uid="{00000000-0005-0000-0000-000054CD0000}"/>
    <cellStyle name="Title 2 3 3 2" xfId="52373" xr:uid="{00000000-0005-0000-0000-000055CD0000}"/>
    <cellStyle name="Title 2 3 3 2 2" xfId="52374" xr:uid="{00000000-0005-0000-0000-000056CD0000}"/>
    <cellStyle name="Title 2 3 3 2 2 2" xfId="52375" xr:uid="{00000000-0005-0000-0000-000057CD0000}"/>
    <cellStyle name="Title 2 3 3 2 3" xfId="52376" xr:uid="{00000000-0005-0000-0000-000058CD0000}"/>
    <cellStyle name="Title 2 3 3 2 3 2" xfId="52377" xr:uid="{00000000-0005-0000-0000-000059CD0000}"/>
    <cellStyle name="Title 2 3 3 2 3 2 2" xfId="52378" xr:uid="{00000000-0005-0000-0000-00005ACD0000}"/>
    <cellStyle name="Title 2 3 3 2 3 3" xfId="52379" xr:uid="{00000000-0005-0000-0000-00005BCD0000}"/>
    <cellStyle name="Title 2 3 3 2 4" xfId="52380" xr:uid="{00000000-0005-0000-0000-00005CCD0000}"/>
    <cellStyle name="Title 2 3 3 3" xfId="52381" xr:uid="{00000000-0005-0000-0000-00005DCD0000}"/>
    <cellStyle name="Title 2 3 3 3 2" xfId="52382" xr:uid="{00000000-0005-0000-0000-00005ECD0000}"/>
    <cellStyle name="Title 2 3 3 3 2 2" xfId="52383" xr:uid="{00000000-0005-0000-0000-00005FCD0000}"/>
    <cellStyle name="Title 2 3 3 3 3" xfId="52384" xr:uid="{00000000-0005-0000-0000-000060CD0000}"/>
    <cellStyle name="Title 2 3 3 4" xfId="52385" xr:uid="{00000000-0005-0000-0000-000061CD0000}"/>
    <cellStyle name="Title 2 3 3 4 2" xfId="52386" xr:uid="{00000000-0005-0000-0000-000062CD0000}"/>
    <cellStyle name="Title 2 3 3 4 2 2" xfId="52387" xr:uid="{00000000-0005-0000-0000-000063CD0000}"/>
    <cellStyle name="Title 2 3 3 4 3" xfId="52388" xr:uid="{00000000-0005-0000-0000-000064CD0000}"/>
    <cellStyle name="Title 2 3 3 5" xfId="52389" xr:uid="{00000000-0005-0000-0000-000065CD0000}"/>
    <cellStyle name="Title 2 3 3 5 2" xfId="52390" xr:uid="{00000000-0005-0000-0000-000066CD0000}"/>
    <cellStyle name="Title 2 3 3 5 2 2" xfId="52391" xr:uid="{00000000-0005-0000-0000-000067CD0000}"/>
    <cellStyle name="Title 2 3 3 5 3" xfId="52392" xr:uid="{00000000-0005-0000-0000-000068CD0000}"/>
    <cellStyle name="Title 2 3 3 6" xfId="52393" xr:uid="{00000000-0005-0000-0000-000069CD0000}"/>
    <cellStyle name="Title 2 3 4" xfId="52394" xr:uid="{00000000-0005-0000-0000-00006ACD0000}"/>
    <cellStyle name="Title 2 3 4 2" xfId="52395" xr:uid="{00000000-0005-0000-0000-00006BCD0000}"/>
    <cellStyle name="Title 2 3 4 2 2" xfId="52396" xr:uid="{00000000-0005-0000-0000-00006CCD0000}"/>
    <cellStyle name="Title 2 3 4 3" xfId="52397" xr:uid="{00000000-0005-0000-0000-00006DCD0000}"/>
    <cellStyle name="Title 2 3 5" xfId="52398" xr:uid="{00000000-0005-0000-0000-00006ECD0000}"/>
    <cellStyle name="Title 2 3 5 2" xfId="52399" xr:uid="{00000000-0005-0000-0000-00006FCD0000}"/>
    <cellStyle name="Title 2 3 5 2 2" xfId="52400" xr:uid="{00000000-0005-0000-0000-000070CD0000}"/>
    <cellStyle name="Title 2 3 5 3" xfId="52401" xr:uid="{00000000-0005-0000-0000-000071CD0000}"/>
    <cellStyle name="Title 2 3 6" xfId="52402" xr:uid="{00000000-0005-0000-0000-000072CD0000}"/>
    <cellStyle name="Title 2 3 6 2" xfId="52403" xr:uid="{00000000-0005-0000-0000-000073CD0000}"/>
    <cellStyle name="Title 2 3 6 2 2" xfId="52404" xr:uid="{00000000-0005-0000-0000-000074CD0000}"/>
    <cellStyle name="Title 2 3 6 3" xfId="52405" xr:uid="{00000000-0005-0000-0000-000075CD0000}"/>
    <cellStyle name="Title 2 3 7" xfId="52406" xr:uid="{00000000-0005-0000-0000-000076CD0000}"/>
    <cellStyle name="Title 2 4" xfId="52407" xr:uid="{00000000-0005-0000-0000-000077CD0000}"/>
    <cellStyle name="Title 2 4 2" xfId="52408" xr:uid="{00000000-0005-0000-0000-000078CD0000}"/>
    <cellStyle name="Title 2 4 2 2" xfId="52409" xr:uid="{00000000-0005-0000-0000-000079CD0000}"/>
    <cellStyle name="Title 2 4 2 2 2" xfId="52410" xr:uid="{00000000-0005-0000-0000-00007ACD0000}"/>
    <cellStyle name="Title 2 4 2 3" xfId="52411" xr:uid="{00000000-0005-0000-0000-00007BCD0000}"/>
    <cellStyle name="Title 2 4 2 3 2" xfId="52412" xr:uid="{00000000-0005-0000-0000-00007CCD0000}"/>
    <cellStyle name="Title 2 4 2 3 2 2" xfId="52413" xr:uid="{00000000-0005-0000-0000-00007DCD0000}"/>
    <cellStyle name="Title 2 4 2 3 3" xfId="52414" xr:uid="{00000000-0005-0000-0000-00007ECD0000}"/>
    <cellStyle name="Title 2 4 2 4" xfId="52415" xr:uid="{00000000-0005-0000-0000-00007FCD0000}"/>
    <cellStyle name="Title 2 4 2 4 2" xfId="52416" xr:uid="{00000000-0005-0000-0000-000080CD0000}"/>
    <cellStyle name="Title 2 4 2 4 2 2" xfId="52417" xr:uid="{00000000-0005-0000-0000-000081CD0000}"/>
    <cellStyle name="Title 2 4 2 4 3" xfId="52418" xr:uid="{00000000-0005-0000-0000-000082CD0000}"/>
    <cellStyle name="Title 2 4 2 5" xfId="52419" xr:uid="{00000000-0005-0000-0000-000083CD0000}"/>
    <cellStyle name="Title 2 4 3" xfId="52420" xr:uid="{00000000-0005-0000-0000-000084CD0000}"/>
    <cellStyle name="Title 2 4 3 2" xfId="52421" xr:uid="{00000000-0005-0000-0000-000085CD0000}"/>
    <cellStyle name="Title 2 4 3 2 2" xfId="52422" xr:uid="{00000000-0005-0000-0000-000086CD0000}"/>
    <cellStyle name="Title 2 4 3 3" xfId="52423" xr:uid="{00000000-0005-0000-0000-000087CD0000}"/>
    <cellStyle name="Title 2 4 4" xfId="52424" xr:uid="{00000000-0005-0000-0000-000088CD0000}"/>
    <cellStyle name="Title 2 4 4 2" xfId="52425" xr:uid="{00000000-0005-0000-0000-000089CD0000}"/>
    <cellStyle name="Title 2 4 4 2 2" xfId="52426" xr:uid="{00000000-0005-0000-0000-00008ACD0000}"/>
    <cellStyle name="Title 2 4 4 3" xfId="52427" xr:uid="{00000000-0005-0000-0000-00008BCD0000}"/>
    <cellStyle name="Title 2 4 5" xfId="52428" xr:uid="{00000000-0005-0000-0000-00008CCD0000}"/>
    <cellStyle name="Title 2 4 5 2" xfId="52429" xr:uid="{00000000-0005-0000-0000-00008DCD0000}"/>
    <cellStyle name="Title 2 4 5 2 2" xfId="52430" xr:uid="{00000000-0005-0000-0000-00008ECD0000}"/>
    <cellStyle name="Title 2 4 5 3" xfId="52431" xr:uid="{00000000-0005-0000-0000-00008FCD0000}"/>
    <cellStyle name="Title 2 4 6" xfId="52432" xr:uid="{00000000-0005-0000-0000-000090CD0000}"/>
    <cellStyle name="Title 2 5" xfId="52433" xr:uid="{00000000-0005-0000-0000-000091CD0000}"/>
    <cellStyle name="Title 2 5 2" xfId="52434" xr:uid="{00000000-0005-0000-0000-000092CD0000}"/>
    <cellStyle name="Title 2 5 2 2" xfId="52435" xr:uid="{00000000-0005-0000-0000-000093CD0000}"/>
    <cellStyle name="Title 2 5 2 2 2" xfId="52436" xr:uid="{00000000-0005-0000-0000-000094CD0000}"/>
    <cellStyle name="Title 2 5 2 3" xfId="52437" xr:uid="{00000000-0005-0000-0000-000095CD0000}"/>
    <cellStyle name="Title 2 5 2 3 2" xfId="52438" xr:uid="{00000000-0005-0000-0000-000096CD0000}"/>
    <cellStyle name="Title 2 5 2 3 2 2" xfId="52439" xr:uid="{00000000-0005-0000-0000-000097CD0000}"/>
    <cellStyle name="Title 2 5 2 3 3" xfId="52440" xr:uid="{00000000-0005-0000-0000-000098CD0000}"/>
    <cellStyle name="Title 2 5 2 4" xfId="52441" xr:uid="{00000000-0005-0000-0000-000099CD0000}"/>
    <cellStyle name="Title 2 5 2 4 2" xfId="52442" xr:uid="{00000000-0005-0000-0000-00009ACD0000}"/>
    <cellStyle name="Title 2 5 2 4 2 2" xfId="52443" xr:uid="{00000000-0005-0000-0000-00009BCD0000}"/>
    <cellStyle name="Title 2 5 2 4 3" xfId="52444" xr:uid="{00000000-0005-0000-0000-00009CCD0000}"/>
    <cellStyle name="Title 2 5 2 5" xfId="52445" xr:uid="{00000000-0005-0000-0000-00009DCD0000}"/>
    <cellStyle name="Title 2 5 3" xfId="52446" xr:uid="{00000000-0005-0000-0000-00009ECD0000}"/>
    <cellStyle name="Title 2 5 3 2" xfId="52447" xr:uid="{00000000-0005-0000-0000-00009FCD0000}"/>
    <cellStyle name="Title 2 5 3 2 2" xfId="52448" xr:uid="{00000000-0005-0000-0000-0000A0CD0000}"/>
    <cellStyle name="Title 2 5 3 2 2 2" xfId="52449" xr:uid="{00000000-0005-0000-0000-0000A1CD0000}"/>
    <cellStyle name="Title 2 5 3 2 3" xfId="52450" xr:uid="{00000000-0005-0000-0000-0000A2CD0000}"/>
    <cellStyle name="Title 2 5 3 2 3 2" xfId="52451" xr:uid="{00000000-0005-0000-0000-0000A3CD0000}"/>
    <cellStyle name="Title 2 5 3 2 3 2 2" xfId="52452" xr:uid="{00000000-0005-0000-0000-0000A4CD0000}"/>
    <cellStyle name="Title 2 5 3 2 3 3" xfId="52453" xr:uid="{00000000-0005-0000-0000-0000A5CD0000}"/>
    <cellStyle name="Title 2 5 3 2 4" xfId="52454" xr:uid="{00000000-0005-0000-0000-0000A6CD0000}"/>
    <cellStyle name="Title 2 5 3 3" xfId="52455" xr:uid="{00000000-0005-0000-0000-0000A7CD0000}"/>
    <cellStyle name="Title 2 5 3 3 2" xfId="52456" xr:uid="{00000000-0005-0000-0000-0000A8CD0000}"/>
    <cellStyle name="Title 2 5 3 3 2 2" xfId="52457" xr:uid="{00000000-0005-0000-0000-0000A9CD0000}"/>
    <cellStyle name="Title 2 5 3 3 3" xfId="52458" xr:uid="{00000000-0005-0000-0000-0000AACD0000}"/>
    <cellStyle name="Title 2 5 3 4" xfId="52459" xr:uid="{00000000-0005-0000-0000-0000ABCD0000}"/>
    <cellStyle name="Title 2 5 3 4 2" xfId="52460" xr:uid="{00000000-0005-0000-0000-0000ACCD0000}"/>
    <cellStyle name="Title 2 5 3 4 2 2" xfId="52461" xr:uid="{00000000-0005-0000-0000-0000ADCD0000}"/>
    <cellStyle name="Title 2 5 3 4 3" xfId="52462" xr:uid="{00000000-0005-0000-0000-0000AECD0000}"/>
    <cellStyle name="Title 2 5 3 5" xfId="52463" xr:uid="{00000000-0005-0000-0000-0000AFCD0000}"/>
    <cellStyle name="Title 2 5 3 5 2" xfId="52464" xr:uid="{00000000-0005-0000-0000-0000B0CD0000}"/>
    <cellStyle name="Title 2 5 3 5 2 2" xfId="52465" xr:uid="{00000000-0005-0000-0000-0000B1CD0000}"/>
    <cellStyle name="Title 2 5 3 5 3" xfId="52466" xr:uid="{00000000-0005-0000-0000-0000B2CD0000}"/>
    <cellStyle name="Title 2 5 3 6" xfId="52467" xr:uid="{00000000-0005-0000-0000-0000B3CD0000}"/>
    <cellStyle name="Title 2 5 4" xfId="52468" xr:uid="{00000000-0005-0000-0000-0000B4CD0000}"/>
    <cellStyle name="Title 2 5 4 2" xfId="52469" xr:uid="{00000000-0005-0000-0000-0000B5CD0000}"/>
    <cellStyle name="Title 2 5 4 2 2" xfId="52470" xr:uid="{00000000-0005-0000-0000-0000B6CD0000}"/>
    <cellStyle name="Title 2 5 4 3" xfId="52471" xr:uid="{00000000-0005-0000-0000-0000B7CD0000}"/>
    <cellStyle name="Title 2 5 5" xfId="52472" xr:uid="{00000000-0005-0000-0000-0000B8CD0000}"/>
    <cellStyle name="Title 2 5 5 2" xfId="52473" xr:uid="{00000000-0005-0000-0000-0000B9CD0000}"/>
    <cellStyle name="Title 2 5 5 2 2" xfId="52474" xr:uid="{00000000-0005-0000-0000-0000BACD0000}"/>
    <cellStyle name="Title 2 5 5 3" xfId="52475" xr:uid="{00000000-0005-0000-0000-0000BBCD0000}"/>
    <cellStyle name="Title 2 5 6" xfId="52476" xr:uid="{00000000-0005-0000-0000-0000BCCD0000}"/>
    <cellStyle name="Title 2 5 6 2" xfId="52477" xr:uid="{00000000-0005-0000-0000-0000BDCD0000}"/>
    <cellStyle name="Title 2 5 6 2 2" xfId="52478" xr:uid="{00000000-0005-0000-0000-0000BECD0000}"/>
    <cellStyle name="Title 2 5 6 3" xfId="52479" xr:uid="{00000000-0005-0000-0000-0000BFCD0000}"/>
    <cellStyle name="Title 2 5 7" xfId="52480" xr:uid="{00000000-0005-0000-0000-0000C0CD0000}"/>
    <cellStyle name="Title 2 6" xfId="52481" xr:uid="{00000000-0005-0000-0000-0000C1CD0000}"/>
    <cellStyle name="Title 2 6 2" xfId="52482" xr:uid="{00000000-0005-0000-0000-0000C2CD0000}"/>
    <cellStyle name="Title 2 6 2 2" xfId="52483" xr:uid="{00000000-0005-0000-0000-0000C3CD0000}"/>
    <cellStyle name="Title 2 6 3" xfId="52484" xr:uid="{00000000-0005-0000-0000-0000C4CD0000}"/>
    <cellStyle name="Title 2 6 3 2" xfId="52485" xr:uid="{00000000-0005-0000-0000-0000C5CD0000}"/>
    <cellStyle name="Title 2 6 3 2 2" xfId="52486" xr:uid="{00000000-0005-0000-0000-0000C6CD0000}"/>
    <cellStyle name="Title 2 6 3 3" xfId="52487" xr:uid="{00000000-0005-0000-0000-0000C7CD0000}"/>
    <cellStyle name="Title 2 6 4" xfId="52488" xr:uid="{00000000-0005-0000-0000-0000C8CD0000}"/>
    <cellStyle name="Title 2 6 4 2" xfId="52489" xr:uid="{00000000-0005-0000-0000-0000C9CD0000}"/>
    <cellStyle name="Title 2 6 4 2 2" xfId="52490" xr:uid="{00000000-0005-0000-0000-0000CACD0000}"/>
    <cellStyle name="Title 2 6 4 3" xfId="52491" xr:uid="{00000000-0005-0000-0000-0000CBCD0000}"/>
    <cellStyle name="Title 2 6 5" xfId="52492" xr:uid="{00000000-0005-0000-0000-0000CCCD0000}"/>
    <cellStyle name="Title 2 7" xfId="52493" xr:uid="{00000000-0005-0000-0000-0000CDCD0000}"/>
    <cellStyle name="Title 2 7 2" xfId="52494" xr:uid="{00000000-0005-0000-0000-0000CECD0000}"/>
    <cellStyle name="Title 2 7 2 2" xfId="52495" xr:uid="{00000000-0005-0000-0000-0000CFCD0000}"/>
    <cellStyle name="Title 2 7 3" xfId="52496" xr:uid="{00000000-0005-0000-0000-0000D0CD0000}"/>
    <cellStyle name="Title 2 7 3 2" xfId="52497" xr:uid="{00000000-0005-0000-0000-0000D1CD0000}"/>
    <cellStyle name="Title 2 7 3 2 2" xfId="52498" xr:uid="{00000000-0005-0000-0000-0000D2CD0000}"/>
    <cellStyle name="Title 2 7 3 3" xfId="52499" xr:uid="{00000000-0005-0000-0000-0000D3CD0000}"/>
    <cellStyle name="Title 2 7 4" xfId="52500" xr:uid="{00000000-0005-0000-0000-0000D4CD0000}"/>
    <cellStyle name="Title 2 7 4 2" xfId="52501" xr:uid="{00000000-0005-0000-0000-0000D5CD0000}"/>
    <cellStyle name="Title 2 7 4 2 2" xfId="52502" xr:uid="{00000000-0005-0000-0000-0000D6CD0000}"/>
    <cellStyle name="Title 2 7 4 3" xfId="52503" xr:uid="{00000000-0005-0000-0000-0000D7CD0000}"/>
    <cellStyle name="Title 2 7 5" xfId="52504" xr:uid="{00000000-0005-0000-0000-0000D8CD0000}"/>
    <cellStyle name="Title 2 8" xfId="52505" xr:uid="{00000000-0005-0000-0000-0000D9CD0000}"/>
    <cellStyle name="Title 2 8 2" xfId="52506" xr:uid="{00000000-0005-0000-0000-0000DACD0000}"/>
    <cellStyle name="Title 2 8 2 2" xfId="52507" xr:uid="{00000000-0005-0000-0000-0000DBCD0000}"/>
    <cellStyle name="Title 2 8 2 2 2" xfId="52508" xr:uid="{00000000-0005-0000-0000-0000DCCD0000}"/>
    <cellStyle name="Title 2 8 2 3" xfId="52509" xr:uid="{00000000-0005-0000-0000-0000DDCD0000}"/>
    <cellStyle name="Title 2 8 2 3 2" xfId="52510" xr:uid="{00000000-0005-0000-0000-0000DECD0000}"/>
    <cellStyle name="Title 2 8 2 3 2 2" xfId="52511" xr:uid="{00000000-0005-0000-0000-0000DFCD0000}"/>
    <cellStyle name="Title 2 8 2 3 3" xfId="52512" xr:uid="{00000000-0005-0000-0000-0000E0CD0000}"/>
    <cellStyle name="Title 2 8 2 4" xfId="52513" xr:uid="{00000000-0005-0000-0000-0000E1CD0000}"/>
    <cellStyle name="Title 2 8 3" xfId="52514" xr:uid="{00000000-0005-0000-0000-0000E2CD0000}"/>
    <cellStyle name="Title 2 8 3 2" xfId="52515" xr:uid="{00000000-0005-0000-0000-0000E3CD0000}"/>
    <cellStyle name="Title 2 8 3 2 2" xfId="52516" xr:uid="{00000000-0005-0000-0000-0000E4CD0000}"/>
    <cellStyle name="Title 2 8 3 3" xfId="52517" xr:uid="{00000000-0005-0000-0000-0000E5CD0000}"/>
    <cellStyle name="Title 2 8 4" xfId="52518" xr:uid="{00000000-0005-0000-0000-0000E6CD0000}"/>
    <cellStyle name="Title 2 8 4 2" xfId="52519" xr:uid="{00000000-0005-0000-0000-0000E7CD0000}"/>
    <cellStyle name="Title 2 8 4 2 2" xfId="52520" xr:uid="{00000000-0005-0000-0000-0000E8CD0000}"/>
    <cellStyle name="Title 2 8 4 3" xfId="52521" xr:uid="{00000000-0005-0000-0000-0000E9CD0000}"/>
    <cellStyle name="Title 2 8 5" xfId="52522" xr:uid="{00000000-0005-0000-0000-0000EACD0000}"/>
    <cellStyle name="Title 2 8 5 2" xfId="52523" xr:uid="{00000000-0005-0000-0000-0000EBCD0000}"/>
    <cellStyle name="Title 2 8 5 2 2" xfId="52524" xr:uid="{00000000-0005-0000-0000-0000ECCD0000}"/>
    <cellStyle name="Title 2 8 5 3" xfId="52525" xr:uid="{00000000-0005-0000-0000-0000EDCD0000}"/>
    <cellStyle name="Title 2 8 6" xfId="52526" xr:uid="{00000000-0005-0000-0000-0000EECD0000}"/>
    <cellStyle name="Title 2 9" xfId="52527" xr:uid="{00000000-0005-0000-0000-0000EFCD0000}"/>
    <cellStyle name="Title 2 9 2" xfId="52528" xr:uid="{00000000-0005-0000-0000-0000F0CD0000}"/>
    <cellStyle name="Title 2 9 2 2" xfId="52529" xr:uid="{00000000-0005-0000-0000-0000F1CD0000}"/>
    <cellStyle name="Title 2 9 3" xfId="52530" xr:uid="{00000000-0005-0000-0000-0000F2CD0000}"/>
    <cellStyle name="Title 3" xfId="52531" xr:uid="{00000000-0005-0000-0000-0000F3CD0000}"/>
    <cellStyle name="Title 3 2" xfId="52532" xr:uid="{00000000-0005-0000-0000-0000F4CD0000}"/>
    <cellStyle name="Title 3 2 2" xfId="52533" xr:uid="{00000000-0005-0000-0000-0000F5CD0000}"/>
    <cellStyle name="Title 3 2 2 2" xfId="52534" xr:uid="{00000000-0005-0000-0000-0000F6CD0000}"/>
    <cellStyle name="Title 3 2 3" xfId="52535" xr:uid="{00000000-0005-0000-0000-0000F7CD0000}"/>
    <cellStyle name="Title 3 2 3 2" xfId="52536" xr:uid="{00000000-0005-0000-0000-0000F8CD0000}"/>
    <cellStyle name="Title 3 2 3 2 2" xfId="52537" xr:uid="{00000000-0005-0000-0000-0000F9CD0000}"/>
    <cellStyle name="Title 3 2 3 3" xfId="52538" xr:uid="{00000000-0005-0000-0000-0000FACD0000}"/>
    <cellStyle name="Title 3 2 4" xfId="52539" xr:uid="{00000000-0005-0000-0000-0000FBCD0000}"/>
    <cellStyle name="Title 3 2 4 2" xfId="52540" xr:uid="{00000000-0005-0000-0000-0000FCCD0000}"/>
    <cellStyle name="Title 3 2 4 2 2" xfId="52541" xr:uid="{00000000-0005-0000-0000-0000FDCD0000}"/>
    <cellStyle name="Title 3 2 4 3" xfId="52542" xr:uid="{00000000-0005-0000-0000-0000FECD0000}"/>
    <cellStyle name="Title 3 2 5" xfId="52543" xr:uid="{00000000-0005-0000-0000-0000FFCD0000}"/>
    <cellStyle name="Title 3 3" xfId="52544" xr:uid="{00000000-0005-0000-0000-000000CE0000}"/>
    <cellStyle name="Title 3 3 2" xfId="52545" xr:uid="{00000000-0005-0000-0000-000001CE0000}"/>
    <cellStyle name="Title 3 3 2 2" xfId="52546" xr:uid="{00000000-0005-0000-0000-000002CE0000}"/>
    <cellStyle name="Title 3 3 3" xfId="52547" xr:uid="{00000000-0005-0000-0000-000003CE0000}"/>
    <cellStyle name="Title 3 3 3 2" xfId="52548" xr:uid="{00000000-0005-0000-0000-000004CE0000}"/>
    <cellStyle name="Title 3 3 3 2 2" xfId="52549" xr:uid="{00000000-0005-0000-0000-000005CE0000}"/>
    <cellStyle name="Title 3 3 3 3" xfId="52550" xr:uid="{00000000-0005-0000-0000-000006CE0000}"/>
    <cellStyle name="Title 3 3 4" xfId="52551" xr:uid="{00000000-0005-0000-0000-000007CE0000}"/>
    <cellStyle name="Title 3 3 4 2" xfId="52552" xr:uid="{00000000-0005-0000-0000-000008CE0000}"/>
    <cellStyle name="Title 3 3 4 2 2" xfId="52553" xr:uid="{00000000-0005-0000-0000-000009CE0000}"/>
    <cellStyle name="Title 3 3 4 3" xfId="52554" xr:uid="{00000000-0005-0000-0000-00000ACE0000}"/>
    <cellStyle name="Title 3 3 5" xfId="52555" xr:uid="{00000000-0005-0000-0000-00000BCE0000}"/>
    <cellStyle name="Title 3 4" xfId="52556" xr:uid="{00000000-0005-0000-0000-00000CCE0000}"/>
    <cellStyle name="Title 3 4 2" xfId="52557" xr:uid="{00000000-0005-0000-0000-00000DCE0000}"/>
    <cellStyle name="Title 3 4 2 2" xfId="52558" xr:uid="{00000000-0005-0000-0000-00000ECE0000}"/>
    <cellStyle name="Title 3 4 2 2 2" xfId="52559" xr:uid="{00000000-0005-0000-0000-00000FCE0000}"/>
    <cellStyle name="Title 3 4 2 3" xfId="52560" xr:uid="{00000000-0005-0000-0000-000010CE0000}"/>
    <cellStyle name="Title 3 4 2 3 2" xfId="52561" xr:uid="{00000000-0005-0000-0000-000011CE0000}"/>
    <cellStyle name="Title 3 4 2 3 2 2" xfId="52562" xr:uid="{00000000-0005-0000-0000-000012CE0000}"/>
    <cellStyle name="Title 3 4 2 3 3" xfId="52563" xr:uid="{00000000-0005-0000-0000-000013CE0000}"/>
    <cellStyle name="Title 3 4 2 4" xfId="52564" xr:uid="{00000000-0005-0000-0000-000014CE0000}"/>
    <cellStyle name="Title 3 4 3" xfId="52565" xr:uid="{00000000-0005-0000-0000-000015CE0000}"/>
    <cellStyle name="Title 3 4 3 2" xfId="52566" xr:uid="{00000000-0005-0000-0000-000016CE0000}"/>
    <cellStyle name="Title 3 4 3 2 2" xfId="52567" xr:uid="{00000000-0005-0000-0000-000017CE0000}"/>
    <cellStyle name="Title 3 4 3 3" xfId="52568" xr:uid="{00000000-0005-0000-0000-000018CE0000}"/>
    <cellStyle name="Title 3 4 4" xfId="52569" xr:uid="{00000000-0005-0000-0000-000019CE0000}"/>
    <cellStyle name="Title 3 4 4 2" xfId="52570" xr:uid="{00000000-0005-0000-0000-00001ACE0000}"/>
    <cellStyle name="Title 3 4 4 2 2" xfId="52571" xr:uid="{00000000-0005-0000-0000-00001BCE0000}"/>
    <cellStyle name="Title 3 4 4 3" xfId="52572" xr:uid="{00000000-0005-0000-0000-00001CCE0000}"/>
    <cellStyle name="Title 3 4 5" xfId="52573" xr:uid="{00000000-0005-0000-0000-00001DCE0000}"/>
    <cellStyle name="Title 3 4 5 2" xfId="52574" xr:uid="{00000000-0005-0000-0000-00001ECE0000}"/>
    <cellStyle name="Title 3 4 5 2 2" xfId="52575" xr:uid="{00000000-0005-0000-0000-00001FCE0000}"/>
    <cellStyle name="Title 3 4 5 3" xfId="52576" xr:uid="{00000000-0005-0000-0000-000020CE0000}"/>
    <cellStyle name="Title 3 4 6" xfId="52577" xr:uid="{00000000-0005-0000-0000-000021CE0000}"/>
    <cellStyle name="Title 3 5" xfId="52578" xr:uid="{00000000-0005-0000-0000-000022CE0000}"/>
    <cellStyle name="Title 3 5 2" xfId="52579" xr:uid="{00000000-0005-0000-0000-000023CE0000}"/>
    <cellStyle name="Title 3 5 2 2" xfId="52580" xr:uid="{00000000-0005-0000-0000-000024CE0000}"/>
    <cellStyle name="Title 3 5 3" xfId="52581" xr:uid="{00000000-0005-0000-0000-000025CE0000}"/>
    <cellStyle name="Title 3 6" xfId="52582" xr:uid="{00000000-0005-0000-0000-000026CE0000}"/>
    <cellStyle name="Title 3 6 2" xfId="52583" xr:uid="{00000000-0005-0000-0000-000027CE0000}"/>
    <cellStyle name="Title 3 6 2 2" xfId="52584" xr:uid="{00000000-0005-0000-0000-000028CE0000}"/>
    <cellStyle name="Title 3 6 3" xfId="52585" xr:uid="{00000000-0005-0000-0000-000029CE0000}"/>
    <cellStyle name="Title 3 7" xfId="52586" xr:uid="{00000000-0005-0000-0000-00002ACE0000}"/>
    <cellStyle name="Title 3 7 2" xfId="52587" xr:uid="{00000000-0005-0000-0000-00002BCE0000}"/>
    <cellStyle name="Title 3 7 2 2" xfId="52588" xr:uid="{00000000-0005-0000-0000-00002CCE0000}"/>
    <cellStyle name="Title 3 7 3" xfId="52589" xr:uid="{00000000-0005-0000-0000-00002DCE0000}"/>
    <cellStyle name="Title 3 8" xfId="52590" xr:uid="{00000000-0005-0000-0000-00002ECE0000}"/>
    <cellStyle name="Title 4" xfId="52591" xr:uid="{00000000-0005-0000-0000-00002FCE0000}"/>
    <cellStyle name="Title 4 2" xfId="52592" xr:uid="{00000000-0005-0000-0000-000030CE0000}"/>
    <cellStyle name="Title 4 2 2" xfId="52593" xr:uid="{00000000-0005-0000-0000-000031CE0000}"/>
    <cellStyle name="Title 4 2 2 2" xfId="52594" xr:uid="{00000000-0005-0000-0000-000032CE0000}"/>
    <cellStyle name="Title 4 2 3" xfId="52595" xr:uid="{00000000-0005-0000-0000-000033CE0000}"/>
    <cellStyle name="Title 4 2 3 2" xfId="52596" xr:uid="{00000000-0005-0000-0000-000034CE0000}"/>
    <cellStyle name="Title 4 2 3 2 2" xfId="52597" xr:uid="{00000000-0005-0000-0000-000035CE0000}"/>
    <cellStyle name="Title 4 2 3 3" xfId="52598" xr:uid="{00000000-0005-0000-0000-000036CE0000}"/>
    <cellStyle name="Title 4 2 4" xfId="52599" xr:uid="{00000000-0005-0000-0000-000037CE0000}"/>
    <cellStyle name="Title 4 2 4 2" xfId="52600" xr:uid="{00000000-0005-0000-0000-000038CE0000}"/>
    <cellStyle name="Title 4 2 4 2 2" xfId="52601" xr:uid="{00000000-0005-0000-0000-000039CE0000}"/>
    <cellStyle name="Title 4 2 4 3" xfId="52602" xr:uid="{00000000-0005-0000-0000-00003ACE0000}"/>
    <cellStyle name="Title 4 2 5" xfId="52603" xr:uid="{00000000-0005-0000-0000-00003BCE0000}"/>
    <cellStyle name="Title 4 3" xfId="52604" xr:uid="{00000000-0005-0000-0000-00003CCE0000}"/>
    <cellStyle name="Title 4 3 2" xfId="52605" xr:uid="{00000000-0005-0000-0000-00003DCE0000}"/>
    <cellStyle name="Title 4 3 2 2" xfId="52606" xr:uid="{00000000-0005-0000-0000-00003ECE0000}"/>
    <cellStyle name="Title 4 3 2 2 2" xfId="52607" xr:uid="{00000000-0005-0000-0000-00003FCE0000}"/>
    <cellStyle name="Title 4 3 2 3" xfId="52608" xr:uid="{00000000-0005-0000-0000-000040CE0000}"/>
    <cellStyle name="Title 4 3 2 3 2" xfId="52609" xr:uid="{00000000-0005-0000-0000-000041CE0000}"/>
    <cellStyle name="Title 4 3 2 3 2 2" xfId="52610" xr:uid="{00000000-0005-0000-0000-000042CE0000}"/>
    <cellStyle name="Title 4 3 2 3 3" xfId="52611" xr:uid="{00000000-0005-0000-0000-000043CE0000}"/>
    <cellStyle name="Title 4 3 2 4" xfId="52612" xr:uid="{00000000-0005-0000-0000-000044CE0000}"/>
    <cellStyle name="Title 4 3 3" xfId="52613" xr:uid="{00000000-0005-0000-0000-000045CE0000}"/>
    <cellStyle name="Title 4 3 3 2" xfId="52614" xr:uid="{00000000-0005-0000-0000-000046CE0000}"/>
    <cellStyle name="Title 4 3 3 2 2" xfId="52615" xr:uid="{00000000-0005-0000-0000-000047CE0000}"/>
    <cellStyle name="Title 4 3 3 3" xfId="52616" xr:uid="{00000000-0005-0000-0000-000048CE0000}"/>
    <cellStyle name="Title 4 3 4" xfId="52617" xr:uid="{00000000-0005-0000-0000-000049CE0000}"/>
    <cellStyle name="Title 4 3 4 2" xfId="52618" xr:uid="{00000000-0005-0000-0000-00004ACE0000}"/>
    <cellStyle name="Title 4 3 4 2 2" xfId="52619" xr:uid="{00000000-0005-0000-0000-00004BCE0000}"/>
    <cellStyle name="Title 4 3 4 3" xfId="52620" xr:uid="{00000000-0005-0000-0000-00004CCE0000}"/>
    <cellStyle name="Title 4 3 5" xfId="52621" xr:uid="{00000000-0005-0000-0000-00004DCE0000}"/>
    <cellStyle name="Title 4 3 5 2" xfId="52622" xr:uid="{00000000-0005-0000-0000-00004ECE0000}"/>
    <cellStyle name="Title 4 3 5 2 2" xfId="52623" xr:uid="{00000000-0005-0000-0000-00004FCE0000}"/>
    <cellStyle name="Title 4 3 5 3" xfId="52624" xr:uid="{00000000-0005-0000-0000-000050CE0000}"/>
    <cellStyle name="Title 4 3 6" xfId="52625" xr:uid="{00000000-0005-0000-0000-000051CE0000}"/>
    <cellStyle name="Title 4 4" xfId="52626" xr:uid="{00000000-0005-0000-0000-000052CE0000}"/>
    <cellStyle name="Title 4 4 2" xfId="52627" xr:uid="{00000000-0005-0000-0000-000053CE0000}"/>
    <cellStyle name="Title 4 4 2 2" xfId="52628" xr:uid="{00000000-0005-0000-0000-000054CE0000}"/>
    <cellStyle name="Title 4 4 3" xfId="52629" xr:uid="{00000000-0005-0000-0000-000055CE0000}"/>
    <cellStyle name="Title 4 5" xfId="52630" xr:uid="{00000000-0005-0000-0000-000056CE0000}"/>
    <cellStyle name="Title 4 5 2" xfId="52631" xr:uid="{00000000-0005-0000-0000-000057CE0000}"/>
    <cellStyle name="Title 4 5 2 2" xfId="52632" xr:uid="{00000000-0005-0000-0000-000058CE0000}"/>
    <cellStyle name="Title 4 5 3" xfId="52633" xr:uid="{00000000-0005-0000-0000-000059CE0000}"/>
    <cellStyle name="Title 4 6" xfId="52634" xr:uid="{00000000-0005-0000-0000-00005ACE0000}"/>
    <cellStyle name="Title 4 6 2" xfId="52635" xr:uid="{00000000-0005-0000-0000-00005BCE0000}"/>
    <cellStyle name="Title 4 6 2 2" xfId="52636" xr:uid="{00000000-0005-0000-0000-00005CCE0000}"/>
    <cellStyle name="Title 4 6 3" xfId="52637" xr:uid="{00000000-0005-0000-0000-00005DCE0000}"/>
    <cellStyle name="Title 4 7" xfId="52638" xr:uid="{00000000-0005-0000-0000-00005ECE0000}"/>
    <cellStyle name="Title 5" xfId="52639" xr:uid="{00000000-0005-0000-0000-00005FCE0000}"/>
    <cellStyle name="Title 5 2" xfId="52640" xr:uid="{00000000-0005-0000-0000-000060CE0000}"/>
    <cellStyle name="Title 5 2 2" xfId="52641" xr:uid="{00000000-0005-0000-0000-000061CE0000}"/>
    <cellStyle name="Title 5 2 2 2" xfId="52642" xr:uid="{00000000-0005-0000-0000-000062CE0000}"/>
    <cellStyle name="Title 5 2 3" xfId="52643" xr:uid="{00000000-0005-0000-0000-000063CE0000}"/>
    <cellStyle name="Title 5 2 3 2" xfId="52644" xr:uid="{00000000-0005-0000-0000-000064CE0000}"/>
    <cellStyle name="Title 5 2 3 2 2" xfId="52645" xr:uid="{00000000-0005-0000-0000-000065CE0000}"/>
    <cellStyle name="Title 5 2 3 3" xfId="52646" xr:uid="{00000000-0005-0000-0000-000066CE0000}"/>
    <cellStyle name="Title 5 2 4" xfId="52647" xr:uid="{00000000-0005-0000-0000-000067CE0000}"/>
    <cellStyle name="Title 5 2 4 2" xfId="52648" xr:uid="{00000000-0005-0000-0000-000068CE0000}"/>
    <cellStyle name="Title 5 2 4 2 2" xfId="52649" xr:uid="{00000000-0005-0000-0000-000069CE0000}"/>
    <cellStyle name="Title 5 2 4 3" xfId="52650" xr:uid="{00000000-0005-0000-0000-00006ACE0000}"/>
    <cellStyle name="Title 5 2 5" xfId="52651" xr:uid="{00000000-0005-0000-0000-00006BCE0000}"/>
    <cellStyle name="Title 5 3" xfId="52652" xr:uid="{00000000-0005-0000-0000-00006CCE0000}"/>
    <cellStyle name="Title 5 3 2" xfId="52653" xr:uid="{00000000-0005-0000-0000-00006DCE0000}"/>
    <cellStyle name="Title 5 3 2 2" xfId="52654" xr:uid="{00000000-0005-0000-0000-00006ECE0000}"/>
    <cellStyle name="Title 5 3 2 2 2" xfId="52655" xr:uid="{00000000-0005-0000-0000-00006FCE0000}"/>
    <cellStyle name="Title 5 3 2 3" xfId="52656" xr:uid="{00000000-0005-0000-0000-000070CE0000}"/>
    <cellStyle name="Title 5 3 2 3 2" xfId="52657" xr:uid="{00000000-0005-0000-0000-000071CE0000}"/>
    <cellStyle name="Title 5 3 2 3 2 2" xfId="52658" xr:uid="{00000000-0005-0000-0000-000072CE0000}"/>
    <cellStyle name="Title 5 3 2 3 3" xfId="52659" xr:uid="{00000000-0005-0000-0000-000073CE0000}"/>
    <cellStyle name="Title 5 3 2 4" xfId="52660" xr:uid="{00000000-0005-0000-0000-000074CE0000}"/>
    <cellStyle name="Title 5 3 3" xfId="52661" xr:uid="{00000000-0005-0000-0000-000075CE0000}"/>
    <cellStyle name="Title 5 3 3 2" xfId="52662" xr:uid="{00000000-0005-0000-0000-000076CE0000}"/>
    <cellStyle name="Title 5 3 3 2 2" xfId="52663" xr:uid="{00000000-0005-0000-0000-000077CE0000}"/>
    <cellStyle name="Title 5 3 3 3" xfId="52664" xr:uid="{00000000-0005-0000-0000-000078CE0000}"/>
    <cellStyle name="Title 5 3 4" xfId="52665" xr:uid="{00000000-0005-0000-0000-000079CE0000}"/>
    <cellStyle name="Title 5 3 4 2" xfId="52666" xr:uid="{00000000-0005-0000-0000-00007ACE0000}"/>
    <cellStyle name="Title 5 3 4 2 2" xfId="52667" xr:uid="{00000000-0005-0000-0000-00007BCE0000}"/>
    <cellStyle name="Title 5 3 4 3" xfId="52668" xr:uid="{00000000-0005-0000-0000-00007CCE0000}"/>
    <cellStyle name="Title 5 3 5" xfId="52669" xr:uid="{00000000-0005-0000-0000-00007DCE0000}"/>
    <cellStyle name="Title 5 3 5 2" xfId="52670" xr:uid="{00000000-0005-0000-0000-00007ECE0000}"/>
    <cellStyle name="Title 5 3 5 2 2" xfId="52671" xr:uid="{00000000-0005-0000-0000-00007FCE0000}"/>
    <cellStyle name="Title 5 3 5 3" xfId="52672" xr:uid="{00000000-0005-0000-0000-000080CE0000}"/>
    <cellStyle name="Title 5 3 6" xfId="52673" xr:uid="{00000000-0005-0000-0000-000081CE0000}"/>
    <cellStyle name="Title 5 4" xfId="52674" xr:uid="{00000000-0005-0000-0000-000082CE0000}"/>
    <cellStyle name="Title 5 4 2" xfId="52675" xr:uid="{00000000-0005-0000-0000-000083CE0000}"/>
    <cellStyle name="Title 5 4 2 2" xfId="52676" xr:uid="{00000000-0005-0000-0000-000084CE0000}"/>
    <cellStyle name="Title 5 4 3" xfId="52677" xr:uid="{00000000-0005-0000-0000-000085CE0000}"/>
    <cellStyle name="Title 5 5" xfId="52678" xr:uid="{00000000-0005-0000-0000-000086CE0000}"/>
    <cellStyle name="Title 5 5 2" xfId="52679" xr:uid="{00000000-0005-0000-0000-000087CE0000}"/>
    <cellStyle name="Title 5 5 2 2" xfId="52680" xr:uid="{00000000-0005-0000-0000-000088CE0000}"/>
    <cellStyle name="Title 5 5 3" xfId="52681" xr:uid="{00000000-0005-0000-0000-000089CE0000}"/>
    <cellStyle name="Title 5 6" xfId="52682" xr:uid="{00000000-0005-0000-0000-00008ACE0000}"/>
    <cellStyle name="Title 5 6 2" xfId="52683" xr:uid="{00000000-0005-0000-0000-00008BCE0000}"/>
    <cellStyle name="Title 5 6 2 2" xfId="52684" xr:uid="{00000000-0005-0000-0000-00008CCE0000}"/>
    <cellStyle name="Title 5 6 3" xfId="52685" xr:uid="{00000000-0005-0000-0000-00008DCE0000}"/>
    <cellStyle name="Title 5 7" xfId="52686" xr:uid="{00000000-0005-0000-0000-00008ECE0000}"/>
    <cellStyle name="Title 6" xfId="52687" xr:uid="{00000000-0005-0000-0000-00008FCE0000}"/>
    <cellStyle name="Title 6 2" xfId="52688" xr:uid="{00000000-0005-0000-0000-000090CE0000}"/>
    <cellStyle name="Title 6 2 2" xfId="52689" xr:uid="{00000000-0005-0000-0000-000091CE0000}"/>
    <cellStyle name="Title 6 2 2 2" xfId="52690" xr:uid="{00000000-0005-0000-0000-000092CE0000}"/>
    <cellStyle name="Title 6 2 3" xfId="52691" xr:uid="{00000000-0005-0000-0000-000093CE0000}"/>
    <cellStyle name="Title 6 2 3 2" xfId="52692" xr:uid="{00000000-0005-0000-0000-000094CE0000}"/>
    <cellStyle name="Title 6 2 3 2 2" xfId="52693" xr:uid="{00000000-0005-0000-0000-000095CE0000}"/>
    <cellStyle name="Title 6 2 3 3" xfId="52694" xr:uid="{00000000-0005-0000-0000-000096CE0000}"/>
    <cellStyle name="Title 6 2 4" xfId="52695" xr:uid="{00000000-0005-0000-0000-000097CE0000}"/>
    <cellStyle name="Title 6 2 4 2" xfId="52696" xr:uid="{00000000-0005-0000-0000-000098CE0000}"/>
    <cellStyle name="Title 6 2 4 2 2" xfId="52697" xr:uid="{00000000-0005-0000-0000-000099CE0000}"/>
    <cellStyle name="Title 6 2 4 3" xfId="52698" xr:uid="{00000000-0005-0000-0000-00009ACE0000}"/>
    <cellStyle name="Title 6 2 5" xfId="52699" xr:uid="{00000000-0005-0000-0000-00009BCE0000}"/>
    <cellStyle name="Title 6 3" xfId="52700" xr:uid="{00000000-0005-0000-0000-00009CCE0000}"/>
    <cellStyle name="Title 6 3 2" xfId="52701" xr:uid="{00000000-0005-0000-0000-00009DCE0000}"/>
    <cellStyle name="Title 6 3 2 2" xfId="52702" xr:uid="{00000000-0005-0000-0000-00009ECE0000}"/>
    <cellStyle name="Title 6 3 3" xfId="52703" xr:uid="{00000000-0005-0000-0000-00009FCE0000}"/>
    <cellStyle name="Title 6 4" xfId="52704" xr:uid="{00000000-0005-0000-0000-0000A0CE0000}"/>
    <cellStyle name="Title 6 4 2" xfId="52705" xr:uid="{00000000-0005-0000-0000-0000A1CE0000}"/>
    <cellStyle name="Title 6 4 2 2" xfId="52706" xr:uid="{00000000-0005-0000-0000-0000A2CE0000}"/>
    <cellStyle name="Title 6 4 3" xfId="52707" xr:uid="{00000000-0005-0000-0000-0000A3CE0000}"/>
    <cellStyle name="Title 6 5" xfId="52708" xr:uid="{00000000-0005-0000-0000-0000A4CE0000}"/>
    <cellStyle name="Title 6 5 2" xfId="52709" xr:uid="{00000000-0005-0000-0000-0000A5CE0000}"/>
    <cellStyle name="Title 6 5 2 2" xfId="52710" xr:uid="{00000000-0005-0000-0000-0000A6CE0000}"/>
    <cellStyle name="Title 6 5 3" xfId="52711" xr:uid="{00000000-0005-0000-0000-0000A7CE0000}"/>
    <cellStyle name="Title 6 6" xfId="52712" xr:uid="{00000000-0005-0000-0000-0000A8CE0000}"/>
    <cellStyle name="Title 7" xfId="52713" xr:uid="{00000000-0005-0000-0000-0000A9CE0000}"/>
    <cellStyle name="Title 8" xfId="52714" xr:uid="{00000000-0005-0000-0000-0000AACE0000}"/>
    <cellStyle name="Total 10" xfId="52715" xr:uid="{00000000-0005-0000-0000-0000ABCE0000}"/>
    <cellStyle name="Total 2" xfId="52716" xr:uid="{00000000-0005-0000-0000-0000ACCE0000}"/>
    <cellStyle name="Total 2 10" xfId="52717" xr:uid="{00000000-0005-0000-0000-0000ADCE0000}"/>
    <cellStyle name="Total 2 10 2" xfId="52718" xr:uid="{00000000-0005-0000-0000-0000AECE0000}"/>
    <cellStyle name="Total 2 10 2 2" xfId="52719" xr:uid="{00000000-0005-0000-0000-0000AFCE0000}"/>
    <cellStyle name="Total 2 10 3" xfId="52720" xr:uid="{00000000-0005-0000-0000-0000B0CE0000}"/>
    <cellStyle name="Total 2 11" xfId="52721" xr:uid="{00000000-0005-0000-0000-0000B1CE0000}"/>
    <cellStyle name="Total 2 11 2" xfId="52722" xr:uid="{00000000-0005-0000-0000-0000B2CE0000}"/>
    <cellStyle name="Total 2 11 2 2" xfId="52723" xr:uid="{00000000-0005-0000-0000-0000B3CE0000}"/>
    <cellStyle name="Total 2 11 3" xfId="52724" xr:uid="{00000000-0005-0000-0000-0000B4CE0000}"/>
    <cellStyle name="Total 2 12" xfId="52725" xr:uid="{00000000-0005-0000-0000-0000B5CE0000}"/>
    <cellStyle name="Total 2 12 2" xfId="52726" xr:uid="{00000000-0005-0000-0000-0000B6CE0000}"/>
    <cellStyle name="Total 2 12 2 2" xfId="52727" xr:uid="{00000000-0005-0000-0000-0000B7CE0000}"/>
    <cellStyle name="Total 2 12 2 2 2" xfId="52728" xr:uid="{00000000-0005-0000-0000-0000B8CE0000}"/>
    <cellStyle name="Total 2 12 2 3" xfId="52729" xr:uid="{00000000-0005-0000-0000-0000B9CE0000}"/>
    <cellStyle name="Total 2 12 3" xfId="52730" xr:uid="{00000000-0005-0000-0000-0000BACE0000}"/>
    <cellStyle name="Total 2 12 3 2" xfId="52731" xr:uid="{00000000-0005-0000-0000-0000BBCE0000}"/>
    <cellStyle name="Total 2 12 4" xfId="52732" xr:uid="{00000000-0005-0000-0000-0000BCCE0000}"/>
    <cellStyle name="Total 2 12 4 2" xfId="52733" xr:uid="{00000000-0005-0000-0000-0000BDCE0000}"/>
    <cellStyle name="Total 2 12 5" xfId="52734" xr:uid="{00000000-0005-0000-0000-0000BECE0000}"/>
    <cellStyle name="Total 2 13" xfId="52735" xr:uid="{00000000-0005-0000-0000-0000BFCE0000}"/>
    <cellStyle name="Total 2 13 2" xfId="52736" xr:uid="{00000000-0005-0000-0000-0000C0CE0000}"/>
    <cellStyle name="Total 2 13 3" xfId="52737" xr:uid="{00000000-0005-0000-0000-0000C1CE0000}"/>
    <cellStyle name="Total 2 14" xfId="52738" xr:uid="{00000000-0005-0000-0000-0000C2CE0000}"/>
    <cellStyle name="Total 2 14 2" xfId="52739" xr:uid="{00000000-0005-0000-0000-0000C3CE0000}"/>
    <cellStyle name="Total 2 15" xfId="52740" xr:uid="{00000000-0005-0000-0000-0000C4CE0000}"/>
    <cellStyle name="Total 2 16" xfId="52741" xr:uid="{00000000-0005-0000-0000-0000C5CE0000}"/>
    <cellStyle name="Total 2 2" xfId="52742" xr:uid="{00000000-0005-0000-0000-0000C6CE0000}"/>
    <cellStyle name="Total 2 2 2" xfId="52743" xr:uid="{00000000-0005-0000-0000-0000C7CE0000}"/>
    <cellStyle name="Total 2 2 2 2" xfId="52744" xr:uid="{00000000-0005-0000-0000-0000C8CE0000}"/>
    <cellStyle name="Total 2 2 2 2 2" xfId="52745" xr:uid="{00000000-0005-0000-0000-0000C9CE0000}"/>
    <cellStyle name="Total 2 2 2 3" xfId="52746" xr:uid="{00000000-0005-0000-0000-0000CACE0000}"/>
    <cellStyle name="Total 2 2 2 3 2" xfId="52747" xr:uid="{00000000-0005-0000-0000-0000CBCE0000}"/>
    <cellStyle name="Total 2 2 2 3 2 2" xfId="52748" xr:uid="{00000000-0005-0000-0000-0000CCCE0000}"/>
    <cellStyle name="Total 2 2 2 3 3" xfId="52749" xr:uid="{00000000-0005-0000-0000-0000CDCE0000}"/>
    <cellStyle name="Total 2 2 2 4" xfId="52750" xr:uid="{00000000-0005-0000-0000-0000CECE0000}"/>
    <cellStyle name="Total 2 2 2 4 2" xfId="52751" xr:uid="{00000000-0005-0000-0000-0000CFCE0000}"/>
    <cellStyle name="Total 2 2 2 4 2 2" xfId="52752" xr:uid="{00000000-0005-0000-0000-0000D0CE0000}"/>
    <cellStyle name="Total 2 2 2 4 3" xfId="52753" xr:uid="{00000000-0005-0000-0000-0000D1CE0000}"/>
    <cellStyle name="Total 2 2 2 5" xfId="52754" xr:uid="{00000000-0005-0000-0000-0000D2CE0000}"/>
    <cellStyle name="Total 2 2 3" xfId="52755" xr:uid="{00000000-0005-0000-0000-0000D3CE0000}"/>
    <cellStyle name="Total 2 2 3 2" xfId="52756" xr:uid="{00000000-0005-0000-0000-0000D4CE0000}"/>
    <cellStyle name="Total 2 2 3 2 2" xfId="52757" xr:uid="{00000000-0005-0000-0000-0000D5CE0000}"/>
    <cellStyle name="Total 2 2 3 2 2 2" xfId="52758" xr:uid="{00000000-0005-0000-0000-0000D6CE0000}"/>
    <cellStyle name="Total 2 2 3 2 3" xfId="52759" xr:uid="{00000000-0005-0000-0000-0000D7CE0000}"/>
    <cellStyle name="Total 2 2 3 2 3 2" xfId="52760" xr:uid="{00000000-0005-0000-0000-0000D8CE0000}"/>
    <cellStyle name="Total 2 2 3 2 3 2 2" xfId="52761" xr:uid="{00000000-0005-0000-0000-0000D9CE0000}"/>
    <cellStyle name="Total 2 2 3 2 3 3" xfId="52762" xr:uid="{00000000-0005-0000-0000-0000DACE0000}"/>
    <cellStyle name="Total 2 2 3 2 4" xfId="52763" xr:uid="{00000000-0005-0000-0000-0000DBCE0000}"/>
    <cellStyle name="Total 2 2 3 3" xfId="52764" xr:uid="{00000000-0005-0000-0000-0000DCCE0000}"/>
    <cellStyle name="Total 2 2 3 3 2" xfId="52765" xr:uid="{00000000-0005-0000-0000-0000DDCE0000}"/>
    <cellStyle name="Total 2 2 3 3 2 2" xfId="52766" xr:uid="{00000000-0005-0000-0000-0000DECE0000}"/>
    <cellStyle name="Total 2 2 3 3 3" xfId="52767" xr:uid="{00000000-0005-0000-0000-0000DFCE0000}"/>
    <cellStyle name="Total 2 2 3 4" xfId="52768" xr:uid="{00000000-0005-0000-0000-0000E0CE0000}"/>
    <cellStyle name="Total 2 2 3 4 2" xfId="52769" xr:uid="{00000000-0005-0000-0000-0000E1CE0000}"/>
    <cellStyle name="Total 2 2 3 4 2 2" xfId="52770" xr:uid="{00000000-0005-0000-0000-0000E2CE0000}"/>
    <cellStyle name="Total 2 2 3 4 3" xfId="52771" xr:uid="{00000000-0005-0000-0000-0000E3CE0000}"/>
    <cellStyle name="Total 2 2 3 5" xfId="52772" xr:uid="{00000000-0005-0000-0000-0000E4CE0000}"/>
    <cellStyle name="Total 2 2 3 5 2" xfId="52773" xr:uid="{00000000-0005-0000-0000-0000E5CE0000}"/>
    <cellStyle name="Total 2 2 3 5 2 2" xfId="52774" xr:uid="{00000000-0005-0000-0000-0000E6CE0000}"/>
    <cellStyle name="Total 2 2 3 5 3" xfId="52775" xr:uid="{00000000-0005-0000-0000-0000E7CE0000}"/>
    <cellStyle name="Total 2 2 3 6" xfId="52776" xr:uid="{00000000-0005-0000-0000-0000E8CE0000}"/>
    <cellStyle name="Total 2 2 4" xfId="52777" xr:uid="{00000000-0005-0000-0000-0000E9CE0000}"/>
    <cellStyle name="Total 2 2 4 2" xfId="52778" xr:uid="{00000000-0005-0000-0000-0000EACE0000}"/>
    <cellStyle name="Total 2 2 4 2 2" xfId="52779" xr:uid="{00000000-0005-0000-0000-0000EBCE0000}"/>
    <cellStyle name="Total 2 2 4 3" xfId="52780" xr:uid="{00000000-0005-0000-0000-0000ECCE0000}"/>
    <cellStyle name="Total 2 2 5" xfId="52781" xr:uid="{00000000-0005-0000-0000-0000EDCE0000}"/>
    <cellStyle name="Total 2 2 5 2" xfId="52782" xr:uid="{00000000-0005-0000-0000-0000EECE0000}"/>
    <cellStyle name="Total 2 2 5 2 2" xfId="52783" xr:uid="{00000000-0005-0000-0000-0000EFCE0000}"/>
    <cellStyle name="Total 2 2 5 3" xfId="52784" xr:uid="{00000000-0005-0000-0000-0000F0CE0000}"/>
    <cellStyle name="Total 2 2 6" xfId="52785" xr:uid="{00000000-0005-0000-0000-0000F1CE0000}"/>
    <cellStyle name="Total 2 2 6 2" xfId="52786" xr:uid="{00000000-0005-0000-0000-0000F2CE0000}"/>
    <cellStyle name="Total 2 2 6 2 2" xfId="52787" xr:uid="{00000000-0005-0000-0000-0000F3CE0000}"/>
    <cellStyle name="Total 2 2 6 3" xfId="52788" xr:uid="{00000000-0005-0000-0000-0000F4CE0000}"/>
    <cellStyle name="Total 2 2 7" xfId="52789" xr:uid="{00000000-0005-0000-0000-0000F5CE0000}"/>
    <cellStyle name="Total 2 3" xfId="52790" xr:uid="{00000000-0005-0000-0000-0000F6CE0000}"/>
    <cellStyle name="Total 2 3 2" xfId="52791" xr:uid="{00000000-0005-0000-0000-0000F7CE0000}"/>
    <cellStyle name="Total 2 3 2 2" xfId="52792" xr:uid="{00000000-0005-0000-0000-0000F8CE0000}"/>
    <cellStyle name="Total 2 3 2 2 2" xfId="52793" xr:uid="{00000000-0005-0000-0000-0000F9CE0000}"/>
    <cellStyle name="Total 2 3 2 2 2 2" xfId="52794" xr:uid="{00000000-0005-0000-0000-0000FACE0000}"/>
    <cellStyle name="Total 2 3 2 2 3" xfId="52795" xr:uid="{00000000-0005-0000-0000-0000FBCE0000}"/>
    <cellStyle name="Total 2 3 2 3" xfId="52796" xr:uid="{00000000-0005-0000-0000-0000FCCE0000}"/>
    <cellStyle name="Total 2 3 2 3 2" xfId="52797" xr:uid="{00000000-0005-0000-0000-0000FDCE0000}"/>
    <cellStyle name="Total 2 3 2 3 2 2" xfId="52798" xr:uid="{00000000-0005-0000-0000-0000FECE0000}"/>
    <cellStyle name="Total 2 3 2 3 3" xfId="52799" xr:uid="{00000000-0005-0000-0000-0000FFCE0000}"/>
    <cellStyle name="Total 2 3 2 4" xfId="52800" xr:uid="{00000000-0005-0000-0000-000000CF0000}"/>
    <cellStyle name="Total 2 3 2 4 2" xfId="52801" xr:uid="{00000000-0005-0000-0000-000001CF0000}"/>
    <cellStyle name="Total 2 3 2 4 2 2" xfId="52802" xr:uid="{00000000-0005-0000-0000-000002CF0000}"/>
    <cellStyle name="Total 2 3 2 4 3" xfId="52803" xr:uid="{00000000-0005-0000-0000-000003CF0000}"/>
    <cellStyle name="Total 2 3 2 5" xfId="52804" xr:uid="{00000000-0005-0000-0000-000004CF0000}"/>
    <cellStyle name="Total 2 3 2 5 2" xfId="52805" xr:uid="{00000000-0005-0000-0000-000005CF0000}"/>
    <cellStyle name="Total 2 3 2 6" xfId="52806" xr:uid="{00000000-0005-0000-0000-000006CF0000}"/>
    <cellStyle name="Total 2 3 3" xfId="52807" xr:uid="{00000000-0005-0000-0000-000007CF0000}"/>
    <cellStyle name="Total 2 3 3 2" xfId="52808" xr:uid="{00000000-0005-0000-0000-000008CF0000}"/>
    <cellStyle name="Total 2 3 3 2 2" xfId="52809" xr:uid="{00000000-0005-0000-0000-000009CF0000}"/>
    <cellStyle name="Total 2 3 3 2 2 2" xfId="52810" xr:uid="{00000000-0005-0000-0000-00000ACF0000}"/>
    <cellStyle name="Total 2 3 3 2 2 2 2" xfId="52811" xr:uid="{00000000-0005-0000-0000-00000BCF0000}"/>
    <cellStyle name="Total 2 3 3 2 2 3" xfId="52812" xr:uid="{00000000-0005-0000-0000-00000CCF0000}"/>
    <cellStyle name="Total 2 3 3 2 3" xfId="52813" xr:uid="{00000000-0005-0000-0000-00000DCF0000}"/>
    <cellStyle name="Total 2 3 3 2 3 2" xfId="52814" xr:uid="{00000000-0005-0000-0000-00000ECF0000}"/>
    <cellStyle name="Total 2 3 3 2 3 2 2" xfId="52815" xr:uid="{00000000-0005-0000-0000-00000FCF0000}"/>
    <cellStyle name="Total 2 3 3 2 3 3" xfId="52816" xr:uid="{00000000-0005-0000-0000-000010CF0000}"/>
    <cellStyle name="Total 2 3 3 2 4" xfId="52817" xr:uid="{00000000-0005-0000-0000-000011CF0000}"/>
    <cellStyle name="Total 2 3 3 2 4 2" xfId="52818" xr:uid="{00000000-0005-0000-0000-000012CF0000}"/>
    <cellStyle name="Total 2 3 3 2 5" xfId="52819" xr:uid="{00000000-0005-0000-0000-000013CF0000}"/>
    <cellStyle name="Total 2 3 3 3" xfId="52820" xr:uid="{00000000-0005-0000-0000-000014CF0000}"/>
    <cellStyle name="Total 2 3 3 3 2" xfId="52821" xr:uid="{00000000-0005-0000-0000-000015CF0000}"/>
    <cellStyle name="Total 2 3 3 3 2 2" xfId="52822" xr:uid="{00000000-0005-0000-0000-000016CF0000}"/>
    <cellStyle name="Total 2 3 3 3 2 2 2" xfId="52823" xr:uid="{00000000-0005-0000-0000-000017CF0000}"/>
    <cellStyle name="Total 2 3 3 3 2 3" xfId="52824" xr:uid="{00000000-0005-0000-0000-000018CF0000}"/>
    <cellStyle name="Total 2 3 3 3 3" xfId="52825" xr:uid="{00000000-0005-0000-0000-000019CF0000}"/>
    <cellStyle name="Total 2 3 3 3 3 2" xfId="52826" xr:uid="{00000000-0005-0000-0000-00001ACF0000}"/>
    <cellStyle name="Total 2 3 3 3 4" xfId="52827" xr:uid="{00000000-0005-0000-0000-00001BCF0000}"/>
    <cellStyle name="Total 2 3 3 4" xfId="52828" xr:uid="{00000000-0005-0000-0000-00001CCF0000}"/>
    <cellStyle name="Total 2 3 3 4 2" xfId="52829" xr:uid="{00000000-0005-0000-0000-00001DCF0000}"/>
    <cellStyle name="Total 2 3 3 4 2 2" xfId="52830" xr:uid="{00000000-0005-0000-0000-00001ECF0000}"/>
    <cellStyle name="Total 2 3 3 4 3" xfId="52831" xr:uid="{00000000-0005-0000-0000-00001FCF0000}"/>
    <cellStyle name="Total 2 3 3 5" xfId="52832" xr:uid="{00000000-0005-0000-0000-000020CF0000}"/>
    <cellStyle name="Total 2 3 3 5 2" xfId="52833" xr:uid="{00000000-0005-0000-0000-000021CF0000}"/>
    <cellStyle name="Total 2 3 3 5 2 2" xfId="52834" xr:uid="{00000000-0005-0000-0000-000022CF0000}"/>
    <cellStyle name="Total 2 3 3 5 3" xfId="52835" xr:uid="{00000000-0005-0000-0000-000023CF0000}"/>
    <cellStyle name="Total 2 3 3 6" xfId="52836" xr:uid="{00000000-0005-0000-0000-000024CF0000}"/>
    <cellStyle name="Total 2 3 3 6 2" xfId="52837" xr:uid="{00000000-0005-0000-0000-000025CF0000}"/>
    <cellStyle name="Total 2 3 3 7" xfId="52838" xr:uid="{00000000-0005-0000-0000-000026CF0000}"/>
    <cellStyle name="Total 2 3 4" xfId="52839" xr:uid="{00000000-0005-0000-0000-000027CF0000}"/>
    <cellStyle name="Total 2 3 4 2" xfId="52840" xr:uid="{00000000-0005-0000-0000-000028CF0000}"/>
    <cellStyle name="Total 2 3 4 2 2" xfId="52841" xr:uid="{00000000-0005-0000-0000-000029CF0000}"/>
    <cellStyle name="Total 2 3 4 2 2 2" xfId="52842" xr:uid="{00000000-0005-0000-0000-00002ACF0000}"/>
    <cellStyle name="Total 2 3 4 2 3" xfId="52843" xr:uid="{00000000-0005-0000-0000-00002BCF0000}"/>
    <cellStyle name="Total 2 3 4 3" xfId="52844" xr:uid="{00000000-0005-0000-0000-00002CCF0000}"/>
    <cellStyle name="Total 2 3 4 3 2" xfId="52845" xr:uid="{00000000-0005-0000-0000-00002DCF0000}"/>
    <cellStyle name="Total 2 3 4 4" xfId="52846" xr:uid="{00000000-0005-0000-0000-00002ECF0000}"/>
    <cellStyle name="Total 2 3 5" xfId="52847" xr:uid="{00000000-0005-0000-0000-00002FCF0000}"/>
    <cellStyle name="Total 2 3 5 2" xfId="52848" xr:uid="{00000000-0005-0000-0000-000030CF0000}"/>
    <cellStyle name="Total 2 3 5 2 2" xfId="52849" xr:uid="{00000000-0005-0000-0000-000031CF0000}"/>
    <cellStyle name="Total 2 3 5 3" xfId="52850" xr:uid="{00000000-0005-0000-0000-000032CF0000}"/>
    <cellStyle name="Total 2 3 6" xfId="52851" xr:uid="{00000000-0005-0000-0000-000033CF0000}"/>
    <cellStyle name="Total 2 3 6 2" xfId="52852" xr:uid="{00000000-0005-0000-0000-000034CF0000}"/>
    <cellStyle name="Total 2 3 6 2 2" xfId="52853" xr:uid="{00000000-0005-0000-0000-000035CF0000}"/>
    <cellStyle name="Total 2 3 6 3" xfId="52854" xr:uid="{00000000-0005-0000-0000-000036CF0000}"/>
    <cellStyle name="Total 2 3 7" xfId="52855" xr:uid="{00000000-0005-0000-0000-000037CF0000}"/>
    <cellStyle name="Total 2 3 7 2" xfId="52856" xr:uid="{00000000-0005-0000-0000-000038CF0000}"/>
    <cellStyle name="Total 2 3 8" xfId="52857" xr:uid="{00000000-0005-0000-0000-000039CF0000}"/>
    <cellStyle name="Total 2 4" xfId="52858" xr:uid="{00000000-0005-0000-0000-00003ACF0000}"/>
    <cellStyle name="Total 2 4 2" xfId="52859" xr:uid="{00000000-0005-0000-0000-00003BCF0000}"/>
    <cellStyle name="Total 2 4 2 2" xfId="52860" xr:uid="{00000000-0005-0000-0000-00003CCF0000}"/>
    <cellStyle name="Total 2 4 2 2 2" xfId="52861" xr:uid="{00000000-0005-0000-0000-00003DCF0000}"/>
    <cellStyle name="Total 2 4 2 2 2 2" xfId="52862" xr:uid="{00000000-0005-0000-0000-00003ECF0000}"/>
    <cellStyle name="Total 2 4 2 2 3" xfId="52863" xr:uid="{00000000-0005-0000-0000-00003FCF0000}"/>
    <cellStyle name="Total 2 4 2 3" xfId="52864" xr:uid="{00000000-0005-0000-0000-000040CF0000}"/>
    <cellStyle name="Total 2 4 2 3 2" xfId="52865" xr:uid="{00000000-0005-0000-0000-000041CF0000}"/>
    <cellStyle name="Total 2 4 2 3 2 2" xfId="52866" xr:uid="{00000000-0005-0000-0000-000042CF0000}"/>
    <cellStyle name="Total 2 4 2 3 3" xfId="52867" xr:uid="{00000000-0005-0000-0000-000043CF0000}"/>
    <cellStyle name="Total 2 4 2 4" xfId="52868" xr:uid="{00000000-0005-0000-0000-000044CF0000}"/>
    <cellStyle name="Total 2 4 2 4 2" xfId="52869" xr:uid="{00000000-0005-0000-0000-000045CF0000}"/>
    <cellStyle name="Total 2 4 2 4 2 2" xfId="52870" xr:uid="{00000000-0005-0000-0000-000046CF0000}"/>
    <cellStyle name="Total 2 4 2 4 3" xfId="52871" xr:uid="{00000000-0005-0000-0000-000047CF0000}"/>
    <cellStyle name="Total 2 4 2 5" xfId="52872" xr:uid="{00000000-0005-0000-0000-000048CF0000}"/>
    <cellStyle name="Total 2 4 2 5 2" xfId="52873" xr:uid="{00000000-0005-0000-0000-000049CF0000}"/>
    <cellStyle name="Total 2 4 2 6" xfId="52874" xr:uid="{00000000-0005-0000-0000-00004ACF0000}"/>
    <cellStyle name="Total 2 4 3" xfId="52875" xr:uid="{00000000-0005-0000-0000-00004BCF0000}"/>
    <cellStyle name="Total 2 4 3 2" xfId="52876" xr:uid="{00000000-0005-0000-0000-00004CCF0000}"/>
    <cellStyle name="Total 2 4 3 2 2" xfId="52877" xr:uid="{00000000-0005-0000-0000-00004DCF0000}"/>
    <cellStyle name="Total 2 4 3 2 2 2" xfId="52878" xr:uid="{00000000-0005-0000-0000-00004ECF0000}"/>
    <cellStyle name="Total 2 4 3 2 3" xfId="52879" xr:uid="{00000000-0005-0000-0000-00004FCF0000}"/>
    <cellStyle name="Total 2 4 3 3" xfId="52880" xr:uid="{00000000-0005-0000-0000-000050CF0000}"/>
    <cellStyle name="Total 2 4 3 3 2" xfId="52881" xr:uid="{00000000-0005-0000-0000-000051CF0000}"/>
    <cellStyle name="Total 2 4 3 4" xfId="52882" xr:uid="{00000000-0005-0000-0000-000052CF0000}"/>
    <cellStyle name="Total 2 4 4" xfId="52883" xr:uid="{00000000-0005-0000-0000-000053CF0000}"/>
    <cellStyle name="Total 2 4 4 2" xfId="52884" xr:uid="{00000000-0005-0000-0000-000054CF0000}"/>
    <cellStyle name="Total 2 4 4 2 2" xfId="52885" xr:uid="{00000000-0005-0000-0000-000055CF0000}"/>
    <cellStyle name="Total 2 4 4 3" xfId="52886" xr:uid="{00000000-0005-0000-0000-000056CF0000}"/>
    <cellStyle name="Total 2 4 5" xfId="52887" xr:uid="{00000000-0005-0000-0000-000057CF0000}"/>
    <cellStyle name="Total 2 4 5 2" xfId="52888" xr:uid="{00000000-0005-0000-0000-000058CF0000}"/>
    <cellStyle name="Total 2 4 5 2 2" xfId="52889" xr:uid="{00000000-0005-0000-0000-000059CF0000}"/>
    <cellStyle name="Total 2 4 5 3" xfId="52890" xr:uid="{00000000-0005-0000-0000-00005ACF0000}"/>
    <cellStyle name="Total 2 4 6" xfId="52891" xr:uid="{00000000-0005-0000-0000-00005BCF0000}"/>
    <cellStyle name="Total 2 4 6 2" xfId="52892" xr:uid="{00000000-0005-0000-0000-00005CCF0000}"/>
    <cellStyle name="Total 2 4 7" xfId="52893" xr:uid="{00000000-0005-0000-0000-00005DCF0000}"/>
    <cellStyle name="Total 2 5" xfId="52894" xr:uid="{00000000-0005-0000-0000-00005ECF0000}"/>
    <cellStyle name="Total 2 5 2" xfId="52895" xr:uid="{00000000-0005-0000-0000-00005FCF0000}"/>
    <cellStyle name="Total 2 5 2 2" xfId="52896" xr:uid="{00000000-0005-0000-0000-000060CF0000}"/>
    <cellStyle name="Total 2 5 2 2 2" xfId="52897" xr:uid="{00000000-0005-0000-0000-000061CF0000}"/>
    <cellStyle name="Total 2 5 2 2 2 2" xfId="52898" xr:uid="{00000000-0005-0000-0000-000062CF0000}"/>
    <cellStyle name="Total 2 5 2 2 3" xfId="52899" xr:uid="{00000000-0005-0000-0000-000063CF0000}"/>
    <cellStyle name="Total 2 5 2 3" xfId="52900" xr:uid="{00000000-0005-0000-0000-000064CF0000}"/>
    <cellStyle name="Total 2 5 2 3 2" xfId="52901" xr:uid="{00000000-0005-0000-0000-000065CF0000}"/>
    <cellStyle name="Total 2 5 2 3 2 2" xfId="52902" xr:uid="{00000000-0005-0000-0000-000066CF0000}"/>
    <cellStyle name="Total 2 5 2 3 3" xfId="52903" xr:uid="{00000000-0005-0000-0000-000067CF0000}"/>
    <cellStyle name="Total 2 5 2 4" xfId="52904" xr:uid="{00000000-0005-0000-0000-000068CF0000}"/>
    <cellStyle name="Total 2 5 2 4 2" xfId="52905" xr:uid="{00000000-0005-0000-0000-000069CF0000}"/>
    <cellStyle name="Total 2 5 2 4 2 2" xfId="52906" xr:uid="{00000000-0005-0000-0000-00006ACF0000}"/>
    <cellStyle name="Total 2 5 2 4 3" xfId="52907" xr:uid="{00000000-0005-0000-0000-00006BCF0000}"/>
    <cellStyle name="Total 2 5 2 5" xfId="52908" xr:uid="{00000000-0005-0000-0000-00006CCF0000}"/>
    <cellStyle name="Total 2 5 2 5 2" xfId="52909" xr:uid="{00000000-0005-0000-0000-00006DCF0000}"/>
    <cellStyle name="Total 2 5 2 6" xfId="52910" xr:uid="{00000000-0005-0000-0000-00006ECF0000}"/>
    <cellStyle name="Total 2 5 3" xfId="52911" xr:uid="{00000000-0005-0000-0000-00006FCF0000}"/>
    <cellStyle name="Total 2 5 3 2" xfId="52912" xr:uid="{00000000-0005-0000-0000-000070CF0000}"/>
    <cellStyle name="Total 2 5 3 2 2" xfId="52913" xr:uid="{00000000-0005-0000-0000-000071CF0000}"/>
    <cellStyle name="Total 2 5 3 2 2 2" xfId="52914" xr:uid="{00000000-0005-0000-0000-000072CF0000}"/>
    <cellStyle name="Total 2 5 3 2 2 2 2" xfId="52915" xr:uid="{00000000-0005-0000-0000-000073CF0000}"/>
    <cellStyle name="Total 2 5 3 2 2 3" xfId="52916" xr:uid="{00000000-0005-0000-0000-000074CF0000}"/>
    <cellStyle name="Total 2 5 3 2 3" xfId="52917" xr:uid="{00000000-0005-0000-0000-000075CF0000}"/>
    <cellStyle name="Total 2 5 3 2 3 2" xfId="52918" xr:uid="{00000000-0005-0000-0000-000076CF0000}"/>
    <cellStyle name="Total 2 5 3 2 3 2 2" xfId="52919" xr:uid="{00000000-0005-0000-0000-000077CF0000}"/>
    <cellStyle name="Total 2 5 3 2 3 3" xfId="52920" xr:uid="{00000000-0005-0000-0000-000078CF0000}"/>
    <cellStyle name="Total 2 5 3 2 4" xfId="52921" xr:uid="{00000000-0005-0000-0000-000079CF0000}"/>
    <cellStyle name="Total 2 5 3 2 4 2" xfId="52922" xr:uid="{00000000-0005-0000-0000-00007ACF0000}"/>
    <cellStyle name="Total 2 5 3 2 5" xfId="52923" xr:uid="{00000000-0005-0000-0000-00007BCF0000}"/>
    <cellStyle name="Total 2 5 3 3" xfId="52924" xr:uid="{00000000-0005-0000-0000-00007CCF0000}"/>
    <cellStyle name="Total 2 5 3 3 2" xfId="52925" xr:uid="{00000000-0005-0000-0000-00007DCF0000}"/>
    <cellStyle name="Total 2 5 3 3 2 2" xfId="52926" xr:uid="{00000000-0005-0000-0000-00007ECF0000}"/>
    <cellStyle name="Total 2 5 3 3 2 2 2" xfId="52927" xr:uid="{00000000-0005-0000-0000-00007FCF0000}"/>
    <cellStyle name="Total 2 5 3 3 2 3" xfId="52928" xr:uid="{00000000-0005-0000-0000-000080CF0000}"/>
    <cellStyle name="Total 2 5 3 3 3" xfId="52929" xr:uid="{00000000-0005-0000-0000-000081CF0000}"/>
    <cellStyle name="Total 2 5 3 3 3 2" xfId="52930" xr:uid="{00000000-0005-0000-0000-000082CF0000}"/>
    <cellStyle name="Total 2 5 3 3 4" xfId="52931" xr:uid="{00000000-0005-0000-0000-000083CF0000}"/>
    <cellStyle name="Total 2 5 3 4" xfId="52932" xr:uid="{00000000-0005-0000-0000-000084CF0000}"/>
    <cellStyle name="Total 2 5 3 4 2" xfId="52933" xr:uid="{00000000-0005-0000-0000-000085CF0000}"/>
    <cellStyle name="Total 2 5 3 4 2 2" xfId="52934" xr:uid="{00000000-0005-0000-0000-000086CF0000}"/>
    <cellStyle name="Total 2 5 3 4 3" xfId="52935" xr:uid="{00000000-0005-0000-0000-000087CF0000}"/>
    <cellStyle name="Total 2 5 3 5" xfId="52936" xr:uid="{00000000-0005-0000-0000-000088CF0000}"/>
    <cellStyle name="Total 2 5 3 5 2" xfId="52937" xr:uid="{00000000-0005-0000-0000-000089CF0000}"/>
    <cellStyle name="Total 2 5 3 5 2 2" xfId="52938" xr:uid="{00000000-0005-0000-0000-00008ACF0000}"/>
    <cellStyle name="Total 2 5 3 5 3" xfId="52939" xr:uid="{00000000-0005-0000-0000-00008BCF0000}"/>
    <cellStyle name="Total 2 5 3 6" xfId="52940" xr:uid="{00000000-0005-0000-0000-00008CCF0000}"/>
    <cellStyle name="Total 2 5 3 6 2" xfId="52941" xr:uid="{00000000-0005-0000-0000-00008DCF0000}"/>
    <cellStyle name="Total 2 5 3 7" xfId="52942" xr:uid="{00000000-0005-0000-0000-00008ECF0000}"/>
    <cellStyle name="Total 2 5 4" xfId="52943" xr:uid="{00000000-0005-0000-0000-00008FCF0000}"/>
    <cellStyle name="Total 2 5 4 2" xfId="52944" xr:uid="{00000000-0005-0000-0000-000090CF0000}"/>
    <cellStyle name="Total 2 5 4 2 2" xfId="52945" xr:uid="{00000000-0005-0000-0000-000091CF0000}"/>
    <cellStyle name="Total 2 5 4 2 2 2" xfId="52946" xr:uid="{00000000-0005-0000-0000-000092CF0000}"/>
    <cellStyle name="Total 2 5 4 2 3" xfId="52947" xr:uid="{00000000-0005-0000-0000-000093CF0000}"/>
    <cellStyle name="Total 2 5 4 3" xfId="52948" xr:uid="{00000000-0005-0000-0000-000094CF0000}"/>
    <cellStyle name="Total 2 5 4 3 2" xfId="52949" xr:uid="{00000000-0005-0000-0000-000095CF0000}"/>
    <cellStyle name="Total 2 5 4 4" xfId="52950" xr:uid="{00000000-0005-0000-0000-000096CF0000}"/>
    <cellStyle name="Total 2 5 5" xfId="52951" xr:uid="{00000000-0005-0000-0000-000097CF0000}"/>
    <cellStyle name="Total 2 5 5 2" xfId="52952" xr:uid="{00000000-0005-0000-0000-000098CF0000}"/>
    <cellStyle name="Total 2 5 5 2 2" xfId="52953" xr:uid="{00000000-0005-0000-0000-000099CF0000}"/>
    <cellStyle name="Total 2 5 5 3" xfId="52954" xr:uid="{00000000-0005-0000-0000-00009ACF0000}"/>
    <cellStyle name="Total 2 5 6" xfId="52955" xr:uid="{00000000-0005-0000-0000-00009BCF0000}"/>
    <cellStyle name="Total 2 5 6 2" xfId="52956" xr:uid="{00000000-0005-0000-0000-00009CCF0000}"/>
    <cellStyle name="Total 2 5 6 2 2" xfId="52957" xr:uid="{00000000-0005-0000-0000-00009DCF0000}"/>
    <cellStyle name="Total 2 5 6 3" xfId="52958" xr:uid="{00000000-0005-0000-0000-00009ECF0000}"/>
    <cellStyle name="Total 2 5 7" xfId="52959" xr:uid="{00000000-0005-0000-0000-00009FCF0000}"/>
    <cellStyle name="Total 2 5 7 2" xfId="52960" xr:uid="{00000000-0005-0000-0000-0000A0CF0000}"/>
    <cellStyle name="Total 2 5 8" xfId="52961" xr:uid="{00000000-0005-0000-0000-0000A1CF0000}"/>
    <cellStyle name="Total 2 6" xfId="52962" xr:uid="{00000000-0005-0000-0000-0000A2CF0000}"/>
    <cellStyle name="Total 2 6 2" xfId="52963" xr:uid="{00000000-0005-0000-0000-0000A3CF0000}"/>
    <cellStyle name="Total 2 6 2 2" xfId="52964" xr:uid="{00000000-0005-0000-0000-0000A4CF0000}"/>
    <cellStyle name="Total 2 6 2 2 2" xfId="52965" xr:uid="{00000000-0005-0000-0000-0000A5CF0000}"/>
    <cellStyle name="Total 2 6 2 3" xfId="52966" xr:uid="{00000000-0005-0000-0000-0000A6CF0000}"/>
    <cellStyle name="Total 2 6 3" xfId="52967" xr:uid="{00000000-0005-0000-0000-0000A7CF0000}"/>
    <cellStyle name="Total 2 6 3 2" xfId="52968" xr:uid="{00000000-0005-0000-0000-0000A8CF0000}"/>
    <cellStyle name="Total 2 6 3 2 2" xfId="52969" xr:uid="{00000000-0005-0000-0000-0000A9CF0000}"/>
    <cellStyle name="Total 2 6 3 3" xfId="52970" xr:uid="{00000000-0005-0000-0000-0000AACF0000}"/>
    <cellStyle name="Total 2 6 4" xfId="52971" xr:uid="{00000000-0005-0000-0000-0000ABCF0000}"/>
    <cellStyle name="Total 2 6 4 2" xfId="52972" xr:uid="{00000000-0005-0000-0000-0000ACCF0000}"/>
    <cellStyle name="Total 2 6 4 2 2" xfId="52973" xr:uid="{00000000-0005-0000-0000-0000ADCF0000}"/>
    <cellStyle name="Total 2 6 4 3" xfId="52974" xr:uid="{00000000-0005-0000-0000-0000AECF0000}"/>
    <cellStyle name="Total 2 6 5" xfId="52975" xr:uid="{00000000-0005-0000-0000-0000AFCF0000}"/>
    <cellStyle name="Total 2 6 5 2" xfId="52976" xr:uid="{00000000-0005-0000-0000-0000B0CF0000}"/>
    <cellStyle name="Total 2 6 6" xfId="52977" xr:uid="{00000000-0005-0000-0000-0000B1CF0000}"/>
    <cellStyle name="Total 2 7" xfId="52978" xr:uid="{00000000-0005-0000-0000-0000B2CF0000}"/>
    <cellStyle name="Total 2 7 2" xfId="52979" xr:uid="{00000000-0005-0000-0000-0000B3CF0000}"/>
    <cellStyle name="Total 2 7 2 2" xfId="52980" xr:uid="{00000000-0005-0000-0000-0000B4CF0000}"/>
    <cellStyle name="Total 2 7 2 2 2" xfId="52981" xr:uid="{00000000-0005-0000-0000-0000B5CF0000}"/>
    <cellStyle name="Total 2 7 2 3" xfId="52982" xr:uid="{00000000-0005-0000-0000-0000B6CF0000}"/>
    <cellStyle name="Total 2 7 3" xfId="52983" xr:uid="{00000000-0005-0000-0000-0000B7CF0000}"/>
    <cellStyle name="Total 2 7 3 2" xfId="52984" xr:uid="{00000000-0005-0000-0000-0000B8CF0000}"/>
    <cellStyle name="Total 2 7 3 2 2" xfId="52985" xr:uid="{00000000-0005-0000-0000-0000B9CF0000}"/>
    <cellStyle name="Total 2 7 3 3" xfId="52986" xr:uid="{00000000-0005-0000-0000-0000BACF0000}"/>
    <cellStyle name="Total 2 7 4" xfId="52987" xr:uid="{00000000-0005-0000-0000-0000BBCF0000}"/>
    <cellStyle name="Total 2 7 4 2" xfId="52988" xr:uid="{00000000-0005-0000-0000-0000BCCF0000}"/>
    <cellStyle name="Total 2 7 4 2 2" xfId="52989" xr:uid="{00000000-0005-0000-0000-0000BDCF0000}"/>
    <cellStyle name="Total 2 7 4 3" xfId="52990" xr:uid="{00000000-0005-0000-0000-0000BECF0000}"/>
    <cellStyle name="Total 2 7 5" xfId="52991" xr:uid="{00000000-0005-0000-0000-0000BFCF0000}"/>
    <cellStyle name="Total 2 7 5 2" xfId="52992" xr:uid="{00000000-0005-0000-0000-0000C0CF0000}"/>
    <cellStyle name="Total 2 7 6" xfId="52993" xr:uid="{00000000-0005-0000-0000-0000C1CF0000}"/>
    <cellStyle name="Total 2 8" xfId="52994" xr:uid="{00000000-0005-0000-0000-0000C2CF0000}"/>
    <cellStyle name="Total 2 8 2" xfId="52995" xr:uid="{00000000-0005-0000-0000-0000C3CF0000}"/>
    <cellStyle name="Total 2 8 2 2" xfId="52996" xr:uid="{00000000-0005-0000-0000-0000C4CF0000}"/>
    <cellStyle name="Total 2 8 2 2 2" xfId="52997" xr:uid="{00000000-0005-0000-0000-0000C5CF0000}"/>
    <cellStyle name="Total 2 8 2 2 2 2" xfId="52998" xr:uid="{00000000-0005-0000-0000-0000C6CF0000}"/>
    <cellStyle name="Total 2 8 2 2 3" xfId="52999" xr:uid="{00000000-0005-0000-0000-0000C7CF0000}"/>
    <cellStyle name="Total 2 8 2 3" xfId="53000" xr:uid="{00000000-0005-0000-0000-0000C8CF0000}"/>
    <cellStyle name="Total 2 8 2 3 2" xfId="53001" xr:uid="{00000000-0005-0000-0000-0000C9CF0000}"/>
    <cellStyle name="Total 2 8 2 3 2 2" xfId="53002" xr:uid="{00000000-0005-0000-0000-0000CACF0000}"/>
    <cellStyle name="Total 2 8 2 3 3" xfId="53003" xr:uid="{00000000-0005-0000-0000-0000CBCF0000}"/>
    <cellStyle name="Total 2 8 2 4" xfId="53004" xr:uid="{00000000-0005-0000-0000-0000CCCF0000}"/>
    <cellStyle name="Total 2 8 2 4 2" xfId="53005" xr:uid="{00000000-0005-0000-0000-0000CDCF0000}"/>
    <cellStyle name="Total 2 8 2 5" xfId="53006" xr:uid="{00000000-0005-0000-0000-0000CECF0000}"/>
    <cellStyle name="Total 2 8 3" xfId="53007" xr:uid="{00000000-0005-0000-0000-0000CFCF0000}"/>
    <cellStyle name="Total 2 8 3 2" xfId="53008" xr:uid="{00000000-0005-0000-0000-0000D0CF0000}"/>
    <cellStyle name="Total 2 8 3 2 2" xfId="53009" xr:uid="{00000000-0005-0000-0000-0000D1CF0000}"/>
    <cellStyle name="Total 2 8 3 2 2 2" xfId="53010" xr:uid="{00000000-0005-0000-0000-0000D2CF0000}"/>
    <cellStyle name="Total 2 8 3 2 3" xfId="53011" xr:uid="{00000000-0005-0000-0000-0000D3CF0000}"/>
    <cellStyle name="Total 2 8 3 3" xfId="53012" xr:uid="{00000000-0005-0000-0000-0000D4CF0000}"/>
    <cellStyle name="Total 2 8 3 3 2" xfId="53013" xr:uid="{00000000-0005-0000-0000-0000D5CF0000}"/>
    <cellStyle name="Total 2 8 3 4" xfId="53014" xr:uid="{00000000-0005-0000-0000-0000D6CF0000}"/>
    <cellStyle name="Total 2 8 4" xfId="53015" xr:uid="{00000000-0005-0000-0000-0000D7CF0000}"/>
    <cellStyle name="Total 2 8 4 2" xfId="53016" xr:uid="{00000000-0005-0000-0000-0000D8CF0000}"/>
    <cellStyle name="Total 2 8 4 2 2" xfId="53017" xr:uid="{00000000-0005-0000-0000-0000D9CF0000}"/>
    <cellStyle name="Total 2 8 4 3" xfId="53018" xr:uid="{00000000-0005-0000-0000-0000DACF0000}"/>
    <cellStyle name="Total 2 8 5" xfId="53019" xr:uid="{00000000-0005-0000-0000-0000DBCF0000}"/>
    <cellStyle name="Total 2 8 5 2" xfId="53020" xr:uid="{00000000-0005-0000-0000-0000DCCF0000}"/>
    <cellStyle name="Total 2 8 5 2 2" xfId="53021" xr:uid="{00000000-0005-0000-0000-0000DDCF0000}"/>
    <cellStyle name="Total 2 8 5 3" xfId="53022" xr:uid="{00000000-0005-0000-0000-0000DECF0000}"/>
    <cellStyle name="Total 2 8 6" xfId="53023" xr:uid="{00000000-0005-0000-0000-0000DFCF0000}"/>
    <cellStyle name="Total 2 8 6 2" xfId="53024" xr:uid="{00000000-0005-0000-0000-0000E0CF0000}"/>
    <cellStyle name="Total 2 8 7" xfId="53025" xr:uid="{00000000-0005-0000-0000-0000E1CF0000}"/>
    <cellStyle name="Total 2 9" xfId="53026" xr:uid="{00000000-0005-0000-0000-0000E2CF0000}"/>
    <cellStyle name="Total 2 9 2" xfId="53027" xr:uid="{00000000-0005-0000-0000-0000E3CF0000}"/>
    <cellStyle name="Total 2 9 2 2" xfId="53028" xr:uid="{00000000-0005-0000-0000-0000E4CF0000}"/>
    <cellStyle name="Total 2 9 2 2 2" xfId="53029" xr:uid="{00000000-0005-0000-0000-0000E5CF0000}"/>
    <cellStyle name="Total 2 9 2 3" xfId="53030" xr:uid="{00000000-0005-0000-0000-0000E6CF0000}"/>
    <cellStyle name="Total 2 9 3" xfId="53031" xr:uid="{00000000-0005-0000-0000-0000E7CF0000}"/>
    <cellStyle name="Total 2 9 3 2" xfId="53032" xr:uid="{00000000-0005-0000-0000-0000E8CF0000}"/>
    <cellStyle name="Total 2 9 4" xfId="53033" xr:uid="{00000000-0005-0000-0000-0000E9CF0000}"/>
    <cellStyle name="Total 3" xfId="53034" xr:uid="{00000000-0005-0000-0000-0000EACF0000}"/>
    <cellStyle name="Total 3 2" xfId="53035" xr:uid="{00000000-0005-0000-0000-0000EBCF0000}"/>
    <cellStyle name="Total 3 2 2" xfId="53036" xr:uid="{00000000-0005-0000-0000-0000ECCF0000}"/>
    <cellStyle name="Total 3 2 2 2" xfId="53037" xr:uid="{00000000-0005-0000-0000-0000EDCF0000}"/>
    <cellStyle name="Total 3 2 2 2 2" xfId="53038" xr:uid="{00000000-0005-0000-0000-0000EECF0000}"/>
    <cellStyle name="Total 3 2 2 3" xfId="53039" xr:uid="{00000000-0005-0000-0000-0000EFCF0000}"/>
    <cellStyle name="Total 3 2 3" xfId="53040" xr:uid="{00000000-0005-0000-0000-0000F0CF0000}"/>
    <cellStyle name="Total 3 2 3 2" xfId="53041" xr:uid="{00000000-0005-0000-0000-0000F1CF0000}"/>
    <cellStyle name="Total 3 2 3 2 2" xfId="53042" xr:uid="{00000000-0005-0000-0000-0000F2CF0000}"/>
    <cellStyle name="Total 3 2 3 3" xfId="53043" xr:uid="{00000000-0005-0000-0000-0000F3CF0000}"/>
    <cellStyle name="Total 3 2 4" xfId="53044" xr:uid="{00000000-0005-0000-0000-0000F4CF0000}"/>
    <cellStyle name="Total 3 2 4 2" xfId="53045" xr:uid="{00000000-0005-0000-0000-0000F5CF0000}"/>
    <cellStyle name="Total 3 2 4 2 2" xfId="53046" xr:uid="{00000000-0005-0000-0000-0000F6CF0000}"/>
    <cellStyle name="Total 3 2 4 3" xfId="53047" xr:uid="{00000000-0005-0000-0000-0000F7CF0000}"/>
    <cellStyle name="Total 3 2 5" xfId="53048" xr:uid="{00000000-0005-0000-0000-0000F8CF0000}"/>
    <cellStyle name="Total 3 2 5 2" xfId="53049" xr:uid="{00000000-0005-0000-0000-0000F9CF0000}"/>
    <cellStyle name="Total 3 2 6" xfId="53050" xr:uid="{00000000-0005-0000-0000-0000FACF0000}"/>
    <cellStyle name="Total 3 3" xfId="53051" xr:uid="{00000000-0005-0000-0000-0000FBCF0000}"/>
    <cellStyle name="Total 3 3 2" xfId="53052" xr:uid="{00000000-0005-0000-0000-0000FCCF0000}"/>
    <cellStyle name="Total 3 3 2 2" xfId="53053" xr:uid="{00000000-0005-0000-0000-0000FDCF0000}"/>
    <cellStyle name="Total 3 3 3" xfId="53054" xr:uid="{00000000-0005-0000-0000-0000FECF0000}"/>
    <cellStyle name="Total 3 3 3 2" xfId="53055" xr:uid="{00000000-0005-0000-0000-0000FFCF0000}"/>
    <cellStyle name="Total 3 3 3 2 2" xfId="53056" xr:uid="{00000000-0005-0000-0000-000000D00000}"/>
    <cellStyle name="Total 3 3 3 3" xfId="53057" xr:uid="{00000000-0005-0000-0000-000001D00000}"/>
    <cellStyle name="Total 3 3 4" xfId="53058" xr:uid="{00000000-0005-0000-0000-000002D00000}"/>
    <cellStyle name="Total 3 3 4 2" xfId="53059" xr:uid="{00000000-0005-0000-0000-000003D00000}"/>
    <cellStyle name="Total 3 3 4 2 2" xfId="53060" xr:uid="{00000000-0005-0000-0000-000004D00000}"/>
    <cellStyle name="Total 3 3 4 3" xfId="53061" xr:uid="{00000000-0005-0000-0000-000005D00000}"/>
    <cellStyle name="Total 3 3 5" xfId="53062" xr:uid="{00000000-0005-0000-0000-000006D00000}"/>
    <cellStyle name="Total 3 4" xfId="53063" xr:uid="{00000000-0005-0000-0000-000007D00000}"/>
    <cellStyle name="Total 3 4 2" xfId="53064" xr:uid="{00000000-0005-0000-0000-000008D00000}"/>
    <cellStyle name="Total 3 4 2 2" xfId="53065" xr:uid="{00000000-0005-0000-0000-000009D00000}"/>
    <cellStyle name="Total 3 4 2 2 2" xfId="53066" xr:uid="{00000000-0005-0000-0000-00000AD00000}"/>
    <cellStyle name="Total 3 4 2 3" xfId="53067" xr:uid="{00000000-0005-0000-0000-00000BD00000}"/>
    <cellStyle name="Total 3 4 2 3 2" xfId="53068" xr:uid="{00000000-0005-0000-0000-00000CD00000}"/>
    <cellStyle name="Total 3 4 2 3 2 2" xfId="53069" xr:uid="{00000000-0005-0000-0000-00000DD00000}"/>
    <cellStyle name="Total 3 4 2 3 3" xfId="53070" xr:uid="{00000000-0005-0000-0000-00000ED00000}"/>
    <cellStyle name="Total 3 4 2 4" xfId="53071" xr:uid="{00000000-0005-0000-0000-00000FD00000}"/>
    <cellStyle name="Total 3 4 3" xfId="53072" xr:uid="{00000000-0005-0000-0000-000010D00000}"/>
    <cellStyle name="Total 3 4 3 2" xfId="53073" xr:uid="{00000000-0005-0000-0000-000011D00000}"/>
    <cellStyle name="Total 3 4 3 2 2" xfId="53074" xr:uid="{00000000-0005-0000-0000-000012D00000}"/>
    <cellStyle name="Total 3 4 3 3" xfId="53075" xr:uid="{00000000-0005-0000-0000-000013D00000}"/>
    <cellStyle name="Total 3 4 4" xfId="53076" xr:uid="{00000000-0005-0000-0000-000014D00000}"/>
    <cellStyle name="Total 3 4 4 2" xfId="53077" xr:uid="{00000000-0005-0000-0000-000015D00000}"/>
    <cellStyle name="Total 3 4 4 2 2" xfId="53078" xr:uid="{00000000-0005-0000-0000-000016D00000}"/>
    <cellStyle name="Total 3 4 4 3" xfId="53079" xr:uid="{00000000-0005-0000-0000-000017D00000}"/>
    <cellStyle name="Total 3 4 5" xfId="53080" xr:uid="{00000000-0005-0000-0000-000018D00000}"/>
    <cellStyle name="Total 3 4 5 2" xfId="53081" xr:uid="{00000000-0005-0000-0000-000019D00000}"/>
    <cellStyle name="Total 3 4 5 2 2" xfId="53082" xr:uid="{00000000-0005-0000-0000-00001AD00000}"/>
    <cellStyle name="Total 3 4 5 3" xfId="53083" xr:uid="{00000000-0005-0000-0000-00001BD00000}"/>
    <cellStyle name="Total 3 4 6" xfId="53084" xr:uid="{00000000-0005-0000-0000-00001CD00000}"/>
    <cellStyle name="Total 3 5" xfId="53085" xr:uid="{00000000-0005-0000-0000-00001DD00000}"/>
    <cellStyle name="Total 3 5 2" xfId="53086" xr:uid="{00000000-0005-0000-0000-00001ED00000}"/>
    <cellStyle name="Total 3 5 2 2" xfId="53087" xr:uid="{00000000-0005-0000-0000-00001FD00000}"/>
    <cellStyle name="Total 3 5 3" xfId="53088" xr:uid="{00000000-0005-0000-0000-000020D00000}"/>
    <cellStyle name="Total 3 6" xfId="53089" xr:uid="{00000000-0005-0000-0000-000021D00000}"/>
    <cellStyle name="Total 3 6 2" xfId="53090" xr:uid="{00000000-0005-0000-0000-000022D00000}"/>
    <cellStyle name="Total 3 6 2 2" xfId="53091" xr:uid="{00000000-0005-0000-0000-000023D00000}"/>
    <cellStyle name="Total 3 6 3" xfId="53092" xr:uid="{00000000-0005-0000-0000-000024D00000}"/>
    <cellStyle name="Total 3 7" xfId="53093" xr:uid="{00000000-0005-0000-0000-000025D00000}"/>
    <cellStyle name="Total 3 7 2" xfId="53094" xr:uid="{00000000-0005-0000-0000-000026D00000}"/>
    <cellStyle name="Total 3 7 2 2" xfId="53095" xr:uid="{00000000-0005-0000-0000-000027D00000}"/>
    <cellStyle name="Total 3 7 3" xfId="53096" xr:uid="{00000000-0005-0000-0000-000028D00000}"/>
    <cellStyle name="Total 3 8" xfId="53097" xr:uid="{00000000-0005-0000-0000-000029D00000}"/>
    <cellStyle name="Total 4" xfId="53098" xr:uid="{00000000-0005-0000-0000-00002AD00000}"/>
    <cellStyle name="Total 4 2" xfId="53099" xr:uid="{00000000-0005-0000-0000-00002BD00000}"/>
    <cellStyle name="Total 4 2 2" xfId="53100" xr:uid="{00000000-0005-0000-0000-00002CD00000}"/>
    <cellStyle name="Total 4 2 2 2" xfId="53101" xr:uid="{00000000-0005-0000-0000-00002DD00000}"/>
    <cellStyle name="Total 4 2 3" xfId="53102" xr:uid="{00000000-0005-0000-0000-00002ED00000}"/>
    <cellStyle name="Total 4 2 3 2" xfId="53103" xr:uid="{00000000-0005-0000-0000-00002FD00000}"/>
    <cellStyle name="Total 4 2 3 2 2" xfId="53104" xr:uid="{00000000-0005-0000-0000-000030D00000}"/>
    <cellStyle name="Total 4 2 3 3" xfId="53105" xr:uid="{00000000-0005-0000-0000-000031D00000}"/>
    <cellStyle name="Total 4 2 4" xfId="53106" xr:uid="{00000000-0005-0000-0000-000032D00000}"/>
    <cellStyle name="Total 4 2 4 2" xfId="53107" xr:uid="{00000000-0005-0000-0000-000033D00000}"/>
    <cellStyle name="Total 4 2 4 2 2" xfId="53108" xr:uid="{00000000-0005-0000-0000-000034D00000}"/>
    <cellStyle name="Total 4 2 4 3" xfId="53109" xr:uid="{00000000-0005-0000-0000-000035D00000}"/>
    <cellStyle name="Total 4 2 5" xfId="53110" xr:uid="{00000000-0005-0000-0000-000036D00000}"/>
    <cellStyle name="Total 4 3" xfId="53111" xr:uid="{00000000-0005-0000-0000-000037D00000}"/>
    <cellStyle name="Total 4 3 2" xfId="53112" xr:uid="{00000000-0005-0000-0000-000038D00000}"/>
    <cellStyle name="Total 4 3 2 2" xfId="53113" xr:uid="{00000000-0005-0000-0000-000039D00000}"/>
    <cellStyle name="Total 4 3 2 2 2" xfId="53114" xr:uid="{00000000-0005-0000-0000-00003AD00000}"/>
    <cellStyle name="Total 4 3 2 3" xfId="53115" xr:uid="{00000000-0005-0000-0000-00003BD00000}"/>
    <cellStyle name="Total 4 3 2 3 2" xfId="53116" xr:uid="{00000000-0005-0000-0000-00003CD00000}"/>
    <cellStyle name="Total 4 3 2 3 2 2" xfId="53117" xr:uid="{00000000-0005-0000-0000-00003DD00000}"/>
    <cellStyle name="Total 4 3 2 3 3" xfId="53118" xr:uid="{00000000-0005-0000-0000-00003ED00000}"/>
    <cellStyle name="Total 4 3 2 4" xfId="53119" xr:uid="{00000000-0005-0000-0000-00003FD00000}"/>
    <cellStyle name="Total 4 3 3" xfId="53120" xr:uid="{00000000-0005-0000-0000-000040D00000}"/>
    <cellStyle name="Total 4 3 3 2" xfId="53121" xr:uid="{00000000-0005-0000-0000-000041D00000}"/>
    <cellStyle name="Total 4 3 3 2 2" xfId="53122" xr:uid="{00000000-0005-0000-0000-000042D00000}"/>
    <cellStyle name="Total 4 3 3 3" xfId="53123" xr:uid="{00000000-0005-0000-0000-000043D00000}"/>
    <cellStyle name="Total 4 3 4" xfId="53124" xr:uid="{00000000-0005-0000-0000-000044D00000}"/>
    <cellStyle name="Total 4 3 4 2" xfId="53125" xr:uid="{00000000-0005-0000-0000-000045D00000}"/>
    <cellStyle name="Total 4 3 4 2 2" xfId="53126" xr:uid="{00000000-0005-0000-0000-000046D00000}"/>
    <cellStyle name="Total 4 3 4 3" xfId="53127" xr:uid="{00000000-0005-0000-0000-000047D00000}"/>
    <cellStyle name="Total 4 3 5" xfId="53128" xr:uid="{00000000-0005-0000-0000-000048D00000}"/>
    <cellStyle name="Total 4 3 5 2" xfId="53129" xr:uid="{00000000-0005-0000-0000-000049D00000}"/>
    <cellStyle name="Total 4 3 5 2 2" xfId="53130" xr:uid="{00000000-0005-0000-0000-00004AD00000}"/>
    <cellStyle name="Total 4 3 5 3" xfId="53131" xr:uid="{00000000-0005-0000-0000-00004BD00000}"/>
    <cellStyle name="Total 4 3 6" xfId="53132" xr:uid="{00000000-0005-0000-0000-00004CD00000}"/>
    <cellStyle name="Total 4 4" xfId="53133" xr:uid="{00000000-0005-0000-0000-00004DD00000}"/>
    <cellStyle name="Total 4 4 2" xfId="53134" xr:uid="{00000000-0005-0000-0000-00004ED00000}"/>
    <cellStyle name="Total 4 4 2 2" xfId="53135" xr:uid="{00000000-0005-0000-0000-00004FD00000}"/>
    <cellStyle name="Total 4 4 3" xfId="53136" xr:uid="{00000000-0005-0000-0000-000050D00000}"/>
    <cellStyle name="Total 4 5" xfId="53137" xr:uid="{00000000-0005-0000-0000-000051D00000}"/>
    <cellStyle name="Total 4 5 2" xfId="53138" xr:uid="{00000000-0005-0000-0000-000052D00000}"/>
    <cellStyle name="Total 4 5 2 2" xfId="53139" xr:uid="{00000000-0005-0000-0000-000053D00000}"/>
    <cellStyle name="Total 4 5 3" xfId="53140" xr:uid="{00000000-0005-0000-0000-000054D00000}"/>
    <cellStyle name="Total 4 6" xfId="53141" xr:uid="{00000000-0005-0000-0000-000055D00000}"/>
    <cellStyle name="Total 4 6 2" xfId="53142" xr:uid="{00000000-0005-0000-0000-000056D00000}"/>
    <cellStyle name="Total 4 6 2 2" xfId="53143" xr:uid="{00000000-0005-0000-0000-000057D00000}"/>
    <cellStyle name="Total 4 6 3" xfId="53144" xr:uid="{00000000-0005-0000-0000-000058D00000}"/>
    <cellStyle name="Total 4 7" xfId="53145" xr:uid="{00000000-0005-0000-0000-000059D00000}"/>
    <cellStyle name="Total 5" xfId="53146" xr:uid="{00000000-0005-0000-0000-00005AD00000}"/>
    <cellStyle name="Total 5 2" xfId="53147" xr:uid="{00000000-0005-0000-0000-00005BD00000}"/>
    <cellStyle name="Total 5 2 2" xfId="53148" xr:uid="{00000000-0005-0000-0000-00005CD00000}"/>
    <cellStyle name="Total 5 2 2 2" xfId="53149" xr:uid="{00000000-0005-0000-0000-00005DD00000}"/>
    <cellStyle name="Total 5 2 2 2 2" xfId="53150" xr:uid="{00000000-0005-0000-0000-00005ED00000}"/>
    <cellStyle name="Total 5 2 2 3" xfId="53151" xr:uid="{00000000-0005-0000-0000-00005FD00000}"/>
    <cellStyle name="Total 5 2 3" xfId="53152" xr:uid="{00000000-0005-0000-0000-000060D00000}"/>
    <cellStyle name="Total 5 2 3 2" xfId="53153" xr:uid="{00000000-0005-0000-0000-000061D00000}"/>
    <cellStyle name="Total 5 2 3 2 2" xfId="53154" xr:uid="{00000000-0005-0000-0000-000062D00000}"/>
    <cellStyle name="Total 5 2 3 3" xfId="53155" xr:uid="{00000000-0005-0000-0000-000063D00000}"/>
    <cellStyle name="Total 5 2 4" xfId="53156" xr:uid="{00000000-0005-0000-0000-000064D00000}"/>
    <cellStyle name="Total 5 2 4 2" xfId="53157" xr:uid="{00000000-0005-0000-0000-000065D00000}"/>
    <cellStyle name="Total 5 2 4 2 2" xfId="53158" xr:uid="{00000000-0005-0000-0000-000066D00000}"/>
    <cellStyle name="Total 5 2 4 3" xfId="53159" xr:uid="{00000000-0005-0000-0000-000067D00000}"/>
    <cellStyle name="Total 5 2 5" xfId="53160" xr:uid="{00000000-0005-0000-0000-000068D00000}"/>
    <cellStyle name="Total 5 2 5 2" xfId="53161" xr:uid="{00000000-0005-0000-0000-000069D00000}"/>
    <cellStyle name="Total 5 2 6" xfId="53162" xr:uid="{00000000-0005-0000-0000-00006AD00000}"/>
    <cellStyle name="Total 5 3" xfId="53163" xr:uid="{00000000-0005-0000-0000-00006BD00000}"/>
    <cellStyle name="Total 5 3 2" xfId="53164" xr:uid="{00000000-0005-0000-0000-00006CD00000}"/>
    <cellStyle name="Total 5 3 2 2" xfId="53165" xr:uid="{00000000-0005-0000-0000-00006DD00000}"/>
    <cellStyle name="Total 5 3 2 2 2" xfId="53166" xr:uid="{00000000-0005-0000-0000-00006ED00000}"/>
    <cellStyle name="Total 5 3 2 2 2 2" xfId="53167" xr:uid="{00000000-0005-0000-0000-00006FD00000}"/>
    <cellStyle name="Total 5 3 2 2 3" xfId="53168" xr:uid="{00000000-0005-0000-0000-000070D00000}"/>
    <cellStyle name="Total 5 3 2 3" xfId="53169" xr:uid="{00000000-0005-0000-0000-000071D00000}"/>
    <cellStyle name="Total 5 3 2 3 2" xfId="53170" xr:uid="{00000000-0005-0000-0000-000072D00000}"/>
    <cellStyle name="Total 5 3 2 3 2 2" xfId="53171" xr:uid="{00000000-0005-0000-0000-000073D00000}"/>
    <cellStyle name="Total 5 3 2 3 3" xfId="53172" xr:uid="{00000000-0005-0000-0000-000074D00000}"/>
    <cellStyle name="Total 5 3 2 4" xfId="53173" xr:uid="{00000000-0005-0000-0000-000075D00000}"/>
    <cellStyle name="Total 5 3 2 4 2" xfId="53174" xr:uid="{00000000-0005-0000-0000-000076D00000}"/>
    <cellStyle name="Total 5 3 2 5" xfId="53175" xr:uid="{00000000-0005-0000-0000-000077D00000}"/>
    <cellStyle name="Total 5 3 3" xfId="53176" xr:uid="{00000000-0005-0000-0000-000078D00000}"/>
    <cellStyle name="Total 5 3 3 2" xfId="53177" xr:uid="{00000000-0005-0000-0000-000079D00000}"/>
    <cellStyle name="Total 5 3 3 2 2" xfId="53178" xr:uid="{00000000-0005-0000-0000-00007AD00000}"/>
    <cellStyle name="Total 5 3 3 2 2 2" xfId="53179" xr:uid="{00000000-0005-0000-0000-00007BD00000}"/>
    <cellStyle name="Total 5 3 3 2 3" xfId="53180" xr:uid="{00000000-0005-0000-0000-00007CD00000}"/>
    <cellStyle name="Total 5 3 3 3" xfId="53181" xr:uid="{00000000-0005-0000-0000-00007DD00000}"/>
    <cellStyle name="Total 5 3 3 3 2" xfId="53182" xr:uid="{00000000-0005-0000-0000-00007ED00000}"/>
    <cellStyle name="Total 5 3 3 4" xfId="53183" xr:uid="{00000000-0005-0000-0000-00007FD00000}"/>
    <cellStyle name="Total 5 3 4" xfId="53184" xr:uid="{00000000-0005-0000-0000-000080D00000}"/>
    <cellStyle name="Total 5 3 4 2" xfId="53185" xr:uid="{00000000-0005-0000-0000-000081D00000}"/>
    <cellStyle name="Total 5 3 4 2 2" xfId="53186" xr:uid="{00000000-0005-0000-0000-000082D00000}"/>
    <cellStyle name="Total 5 3 4 3" xfId="53187" xr:uid="{00000000-0005-0000-0000-000083D00000}"/>
    <cellStyle name="Total 5 3 5" xfId="53188" xr:uid="{00000000-0005-0000-0000-000084D00000}"/>
    <cellStyle name="Total 5 3 5 2" xfId="53189" xr:uid="{00000000-0005-0000-0000-000085D00000}"/>
    <cellStyle name="Total 5 3 5 2 2" xfId="53190" xr:uid="{00000000-0005-0000-0000-000086D00000}"/>
    <cellStyle name="Total 5 3 5 3" xfId="53191" xr:uid="{00000000-0005-0000-0000-000087D00000}"/>
    <cellStyle name="Total 5 3 6" xfId="53192" xr:uid="{00000000-0005-0000-0000-000088D00000}"/>
    <cellStyle name="Total 5 3 6 2" xfId="53193" xr:uid="{00000000-0005-0000-0000-000089D00000}"/>
    <cellStyle name="Total 5 3 7" xfId="53194" xr:uid="{00000000-0005-0000-0000-00008AD00000}"/>
    <cellStyle name="Total 5 4" xfId="53195" xr:uid="{00000000-0005-0000-0000-00008BD00000}"/>
    <cellStyle name="Total 5 4 2" xfId="53196" xr:uid="{00000000-0005-0000-0000-00008CD00000}"/>
    <cellStyle name="Total 5 4 2 2" xfId="53197" xr:uid="{00000000-0005-0000-0000-00008DD00000}"/>
    <cellStyle name="Total 5 4 2 2 2" xfId="53198" xr:uid="{00000000-0005-0000-0000-00008ED00000}"/>
    <cellStyle name="Total 5 4 2 3" xfId="53199" xr:uid="{00000000-0005-0000-0000-00008FD00000}"/>
    <cellStyle name="Total 5 4 3" xfId="53200" xr:uid="{00000000-0005-0000-0000-000090D00000}"/>
    <cellStyle name="Total 5 4 3 2" xfId="53201" xr:uid="{00000000-0005-0000-0000-000091D00000}"/>
    <cellStyle name="Total 5 4 4" xfId="53202" xr:uid="{00000000-0005-0000-0000-000092D00000}"/>
    <cellStyle name="Total 5 5" xfId="53203" xr:uid="{00000000-0005-0000-0000-000093D00000}"/>
    <cellStyle name="Total 5 5 2" xfId="53204" xr:uid="{00000000-0005-0000-0000-000094D00000}"/>
    <cellStyle name="Total 5 5 2 2" xfId="53205" xr:uid="{00000000-0005-0000-0000-000095D00000}"/>
    <cellStyle name="Total 5 5 3" xfId="53206" xr:uid="{00000000-0005-0000-0000-000096D00000}"/>
    <cellStyle name="Total 5 6" xfId="53207" xr:uid="{00000000-0005-0000-0000-000097D00000}"/>
    <cellStyle name="Total 5 6 2" xfId="53208" xr:uid="{00000000-0005-0000-0000-000098D00000}"/>
    <cellStyle name="Total 5 6 2 2" xfId="53209" xr:uid="{00000000-0005-0000-0000-000099D00000}"/>
    <cellStyle name="Total 5 6 3" xfId="53210" xr:uid="{00000000-0005-0000-0000-00009AD00000}"/>
    <cellStyle name="Total 5 7" xfId="53211" xr:uid="{00000000-0005-0000-0000-00009BD00000}"/>
    <cellStyle name="Total 5 7 2" xfId="53212" xr:uid="{00000000-0005-0000-0000-00009CD00000}"/>
    <cellStyle name="Total 5 8" xfId="53213" xr:uid="{00000000-0005-0000-0000-00009DD00000}"/>
    <cellStyle name="Total 6" xfId="53214" xr:uid="{00000000-0005-0000-0000-00009ED00000}"/>
    <cellStyle name="Total 6 2" xfId="53215" xr:uid="{00000000-0005-0000-0000-00009FD00000}"/>
    <cellStyle name="Total 6 2 2" xfId="53216" xr:uid="{00000000-0005-0000-0000-0000A0D00000}"/>
    <cellStyle name="Total 6 2 2 2" xfId="53217" xr:uid="{00000000-0005-0000-0000-0000A1D00000}"/>
    <cellStyle name="Total 6 2 2 2 2" xfId="53218" xr:uid="{00000000-0005-0000-0000-0000A2D00000}"/>
    <cellStyle name="Total 6 2 2 2 2 2" xfId="53219" xr:uid="{00000000-0005-0000-0000-0000A3D00000}"/>
    <cellStyle name="Total 6 2 2 2 3" xfId="53220" xr:uid="{00000000-0005-0000-0000-0000A4D00000}"/>
    <cellStyle name="Total 6 2 2 3" xfId="53221" xr:uid="{00000000-0005-0000-0000-0000A5D00000}"/>
    <cellStyle name="Total 6 2 2 3 2" xfId="53222" xr:uid="{00000000-0005-0000-0000-0000A6D00000}"/>
    <cellStyle name="Total 6 2 2 3 2 2" xfId="53223" xr:uid="{00000000-0005-0000-0000-0000A7D00000}"/>
    <cellStyle name="Total 6 2 2 3 3" xfId="53224" xr:uid="{00000000-0005-0000-0000-0000A8D00000}"/>
    <cellStyle name="Total 6 2 2 4" xfId="53225" xr:uid="{00000000-0005-0000-0000-0000A9D00000}"/>
    <cellStyle name="Total 6 2 2 4 2" xfId="53226" xr:uid="{00000000-0005-0000-0000-0000AAD00000}"/>
    <cellStyle name="Total 6 2 2 4 2 2" xfId="53227" xr:uid="{00000000-0005-0000-0000-0000ABD00000}"/>
    <cellStyle name="Total 6 2 2 4 3" xfId="53228" xr:uid="{00000000-0005-0000-0000-0000ACD00000}"/>
    <cellStyle name="Total 6 2 2 5" xfId="53229" xr:uid="{00000000-0005-0000-0000-0000ADD00000}"/>
    <cellStyle name="Total 6 2 2 5 2" xfId="53230" xr:uid="{00000000-0005-0000-0000-0000AED00000}"/>
    <cellStyle name="Total 6 2 2 6" xfId="53231" xr:uid="{00000000-0005-0000-0000-0000AFD00000}"/>
    <cellStyle name="Total 6 2 3" xfId="53232" xr:uid="{00000000-0005-0000-0000-0000B0D00000}"/>
    <cellStyle name="Total 6 2 3 2" xfId="53233" xr:uid="{00000000-0005-0000-0000-0000B1D00000}"/>
    <cellStyle name="Total 6 2 3 2 2" xfId="53234" xr:uid="{00000000-0005-0000-0000-0000B2D00000}"/>
    <cellStyle name="Total 6 2 3 2 2 2" xfId="53235" xr:uid="{00000000-0005-0000-0000-0000B3D00000}"/>
    <cellStyle name="Total 6 2 3 2 3" xfId="53236" xr:uid="{00000000-0005-0000-0000-0000B4D00000}"/>
    <cellStyle name="Total 6 2 3 3" xfId="53237" xr:uid="{00000000-0005-0000-0000-0000B5D00000}"/>
    <cellStyle name="Total 6 2 3 3 2" xfId="53238" xr:uid="{00000000-0005-0000-0000-0000B6D00000}"/>
    <cellStyle name="Total 6 2 3 4" xfId="53239" xr:uid="{00000000-0005-0000-0000-0000B7D00000}"/>
    <cellStyle name="Total 6 2 4" xfId="53240" xr:uid="{00000000-0005-0000-0000-0000B8D00000}"/>
    <cellStyle name="Total 6 2 4 2" xfId="53241" xr:uid="{00000000-0005-0000-0000-0000B9D00000}"/>
    <cellStyle name="Total 6 2 4 2 2" xfId="53242" xr:uid="{00000000-0005-0000-0000-0000BAD00000}"/>
    <cellStyle name="Total 6 2 4 3" xfId="53243" xr:uid="{00000000-0005-0000-0000-0000BBD00000}"/>
    <cellStyle name="Total 6 2 5" xfId="53244" xr:uid="{00000000-0005-0000-0000-0000BCD00000}"/>
    <cellStyle name="Total 6 2 5 2" xfId="53245" xr:uid="{00000000-0005-0000-0000-0000BDD00000}"/>
    <cellStyle name="Total 6 2 5 2 2" xfId="53246" xr:uid="{00000000-0005-0000-0000-0000BED00000}"/>
    <cellStyle name="Total 6 2 5 3" xfId="53247" xr:uid="{00000000-0005-0000-0000-0000BFD00000}"/>
    <cellStyle name="Total 6 2 6" xfId="53248" xr:uid="{00000000-0005-0000-0000-0000C0D00000}"/>
    <cellStyle name="Total 6 2 6 2" xfId="53249" xr:uid="{00000000-0005-0000-0000-0000C1D00000}"/>
    <cellStyle name="Total 6 2 7" xfId="53250" xr:uid="{00000000-0005-0000-0000-0000C2D00000}"/>
    <cellStyle name="Total 6 3" xfId="53251" xr:uid="{00000000-0005-0000-0000-0000C3D00000}"/>
    <cellStyle name="Total 6 4" xfId="53252" xr:uid="{00000000-0005-0000-0000-0000C4D00000}"/>
    <cellStyle name="Total 6 4 2" xfId="53253" xr:uid="{00000000-0005-0000-0000-0000C5D00000}"/>
    <cellStyle name="Total 6 4 2 2" xfId="53254" xr:uid="{00000000-0005-0000-0000-0000C6D00000}"/>
    <cellStyle name="Total 6 4 3" xfId="53255" xr:uid="{00000000-0005-0000-0000-0000C7D00000}"/>
    <cellStyle name="Total 6 5" xfId="53256" xr:uid="{00000000-0005-0000-0000-0000C8D00000}"/>
    <cellStyle name="Total 6 5 2" xfId="53257" xr:uid="{00000000-0005-0000-0000-0000C9D00000}"/>
    <cellStyle name="Total 6 5 2 2" xfId="53258" xr:uid="{00000000-0005-0000-0000-0000CAD00000}"/>
    <cellStyle name="Total 6 5 3" xfId="53259" xr:uid="{00000000-0005-0000-0000-0000CBD00000}"/>
    <cellStyle name="Total 7" xfId="53260" xr:uid="{00000000-0005-0000-0000-0000CCD00000}"/>
    <cellStyle name="Total 7 2" xfId="53261" xr:uid="{00000000-0005-0000-0000-0000CDD00000}"/>
    <cellStyle name="Total 8" xfId="53262" xr:uid="{00000000-0005-0000-0000-0000CED00000}"/>
    <cellStyle name="Total 8 2" xfId="53263" xr:uid="{00000000-0005-0000-0000-0000CFD00000}"/>
    <cellStyle name="Total 9" xfId="53264" xr:uid="{00000000-0005-0000-0000-0000D0D00000}"/>
    <cellStyle name="Unprot" xfId="53265" xr:uid="{00000000-0005-0000-0000-0000D1D00000}"/>
    <cellStyle name="Unprot 2" xfId="53266" xr:uid="{00000000-0005-0000-0000-0000D2D00000}"/>
    <cellStyle name="Unprot 2 2" xfId="53267" xr:uid="{00000000-0005-0000-0000-0000D3D00000}"/>
    <cellStyle name="Unprot 2 3" xfId="53268" xr:uid="{00000000-0005-0000-0000-0000D4D00000}"/>
    <cellStyle name="Unprot 2 3 2" xfId="53269" xr:uid="{00000000-0005-0000-0000-0000D5D00000}"/>
    <cellStyle name="Unprot 2 3 2 2" xfId="53270" xr:uid="{00000000-0005-0000-0000-0000D6D00000}"/>
    <cellStyle name="Unprot 2 3 3" xfId="53271" xr:uid="{00000000-0005-0000-0000-0000D7D00000}"/>
    <cellStyle name="Unprot 2 4" xfId="53272" xr:uid="{00000000-0005-0000-0000-0000D8D00000}"/>
    <cellStyle name="Unprot 2 4 2" xfId="53273" xr:uid="{00000000-0005-0000-0000-0000D9D00000}"/>
    <cellStyle name="Unprot 2 4 2 2" xfId="53274" xr:uid="{00000000-0005-0000-0000-0000DAD00000}"/>
    <cellStyle name="Unprot 2 4 3" xfId="53275" xr:uid="{00000000-0005-0000-0000-0000DBD00000}"/>
    <cellStyle name="Unprot 3" xfId="53276" xr:uid="{00000000-0005-0000-0000-0000DCD00000}"/>
    <cellStyle name="Unprot 4" xfId="53277" xr:uid="{00000000-0005-0000-0000-0000DDD00000}"/>
    <cellStyle name="Unprot 4 2" xfId="53278" xr:uid="{00000000-0005-0000-0000-0000DED00000}"/>
    <cellStyle name="Unprot 4 2 2" xfId="53279" xr:uid="{00000000-0005-0000-0000-0000DFD00000}"/>
    <cellStyle name="Unprot 4 3" xfId="53280" xr:uid="{00000000-0005-0000-0000-0000E0D00000}"/>
    <cellStyle name="Unprot 5" xfId="53281" xr:uid="{00000000-0005-0000-0000-0000E1D00000}"/>
    <cellStyle name="Unprot 5 2" xfId="53282" xr:uid="{00000000-0005-0000-0000-0000E2D00000}"/>
    <cellStyle name="Unprot 5 2 2" xfId="53283" xr:uid="{00000000-0005-0000-0000-0000E3D00000}"/>
    <cellStyle name="Unprot 5 3" xfId="53284" xr:uid="{00000000-0005-0000-0000-0000E4D00000}"/>
    <cellStyle name="Unprot$" xfId="53285" xr:uid="{00000000-0005-0000-0000-0000E5D00000}"/>
    <cellStyle name="Unprot$ 2" xfId="53286" xr:uid="{00000000-0005-0000-0000-0000E6D00000}"/>
    <cellStyle name="Unprot$ 2 2" xfId="53287" xr:uid="{00000000-0005-0000-0000-0000E7D00000}"/>
    <cellStyle name="Unprot$ 2 3" xfId="53288" xr:uid="{00000000-0005-0000-0000-0000E8D00000}"/>
    <cellStyle name="Unprot$ 2 3 2" xfId="53289" xr:uid="{00000000-0005-0000-0000-0000E9D00000}"/>
    <cellStyle name="Unprot$ 2 3 2 2" xfId="53290" xr:uid="{00000000-0005-0000-0000-0000EAD00000}"/>
    <cellStyle name="Unprot$ 2 3 3" xfId="53291" xr:uid="{00000000-0005-0000-0000-0000EBD00000}"/>
    <cellStyle name="Unprot$ 2 4" xfId="53292" xr:uid="{00000000-0005-0000-0000-0000ECD00000}"/>
    <cellStyle name="Unprot$ 2 4 2" xfId="53293" xr:uid="{00000000-0005-0000-0000-0000EDD00000}"/>
    <cellStyle name="Unprot$ 2 4 2 2" xfId="53294" xr:uid="{00000000-0005-0000-0000-0000EED00000}"/>
    <cellStyle name="Unprot$ 2 4 3" xfId="53295" xr:uid="{00000000-0005-0000-0000-0000EFD00000}"/>
    <cellStyle name="Unprot$ 3" xfId="53296" xr:uid="{00000000-0005-0000-0000-0000F0D00000}"/>
    <cellStyle name="Unprot$ 4" xfId="53297" xr:uid="{00000000-0005-0000-0000-0000F1D00000}"/>
    <cellStyle name="Unprot$ 4 2" xfId="53298" xr:uid="{00000000-0005-0000-0000-0000F2D00000}"/>
    <cellStyle name="Unprot$ 4 2 2" xfId="53299" xr:uid="{00000000-0005-0000-0000-0000F3D00000}"/>
    <cellStyle name="Unprot$ 4 3" xfId="53300" xr:uid="{00000000-0005-0000-0000-0000F4D00000}"/>
    <cellStyle name="Unprot$ 5" xfId="53301" xr:uid="{00000000-0005-0000-0000-0000F5D00000}"/>
    <cellStyle name="Unprot$ 5 2" xfId="53302" xr:uid="{00000000-0005-0000-0000-0000F6D00000}"/>
    <cellStyle name="Unprot$ 5 2 2" xfId="53303" xr:uid="{00000000-0005-0000-0000-0000F7D00000}"/>
    <cellStyle name="Unprot$ 5 3" xfId="53304" xr:uid="{00000000-0005-0000-0000-0000F8D00000}"/>
    <cellStyle name="Unprot$ 6" xfId="53305" xr:uid="{00000000-0005-0000-0000-0000F9D00000}"/>
    <cellStyle name="Unprot_Atlas" xfId="53306" xr:uid="{00000000-0005-0000-0000-0000FAD00000}"/>
    <cellStyle name="Unprotect" xfId="53307" xr:uid="{00000000-0005-0000-0000-0000FBD00000}"/>
    <cellStyle name="Unprotect 2" xfId="53308" xr:uid="{00000000-0005-0000-0000-0000FCD00000}"/>
    <cellStyle name="Unprotect 3" xfId="53309" xr:uid="{00000000-0005-0000-0000-0000FDD00000}"/>
    <cellStyle name="Unprotect 3 2" xfId="53310" xr:uid="{00000000-0005-0000-0000-0000FED00000}"/>
    <cellStyle name="Unprotect 3 2 2" xfId="53311" xr:uid="{00000000-0005-0000-0000-0000FFD00000}"/>
    <cellStyle name="Unprotect 3 3" xfId="53312" xr:uid="{00000000-0005-0000-0000-000000D10000}"/>
    <cellStyle name="Unprotect 4" xfId="53313" xr:uid="{00000000-0005-0000-0000-000001D10000}"/>
    <cellStyle name="Unprotect 4 2" xfId="53314" xr:uid="{00000000-0005-0000-0000-000002D10000}"/>
    <cellStyle name="Unprotect 4 2 2" xfId="53315" xr:uid="{00000000-0005-0000-0000-000003D10000}"/>
    <cellStyle name="Unprotect 4 3" xfId="53316" xr:uid="{00000000-0005-0000-0000-000004D10000}"/>
    <cellStyle name="Warning Text 2" xfId="53317" xr:uid="{00000000-0005-0000-0000-000005D10000}"/>
    <cellStyle name="Warning Text 2 10" xfId="53318" xr:uid="{00000000-0005-0000-0000-000006D10000}"/>
    <cellStyle name="Warning Text 2 10 2" xfId="53319" xr:uid="{00000000-0005-0000-0000-000007D10000}"/>
    <cellStyle name="Warning Text 2 11" xfId="53320" xr:uid="{00000000-0005-0000-0000-000008D10000}"/>
    <cellStyle name="Warning Text 2 12" xfId="53321" xr:uid="{00000000-0005-0000-0000-000009D10000}"/>
    <cellStyle name="Warning Text 2 2" xfId="53322" xr:uid="{00000000-0005-0000-0000-00000AD10000}"/>
    <cellStyle name="Warning Text 2 2 2" xfId="53323" xr:uid="{00000000-0005-0000-0000-00000BD10000}"/>
    <cellStyle name="Warning Text 2 2 2 2" xfId="53324" xr:uid="{00000000-0005-0000-0000-00000CD10000}"/>
    <cellStyle name="Warning Text 2 2 2 2 2" xfId="53325" xr:uid="{00000000-0005-0000-0000-00000DD10000}"/>
    <cellStyle name="Warning Text 2 2 2 3" xfId="53326" xr:uid="{00000000-0005-0000-0000-00000ED10000}"/>
    <cellStyle name="Warning Text 2 2 2 3 2" xfId="53327" xr:uid="{00000000-0005-0000-0000-00000FD10000}"/>
    <cellStyle name="Warning Text 2 2 2 3 2 2" xfId="53328" xr:uid="{00000000-0005-0000-0000-000010D10000}"/>
    <cellStyle name="Warning Text 2 2 2 3 3" xfId="53329" xr:uid="{00000000-0005-0000-0000-000011D10000}"/>
    <cellStyle name="Warning Text 2 2 2 4" xfId="53330" xr:uid="{00000000-0005-0000-0000-000012D10000}"/>
    <cellStyle name="Warning Text 2 2 2 4 2" xfId="53331" xr:uid="{00000000-0005-0000-0000-000013D10000}"/>
    <cellStyle name="Warning Text 2 2 2 4 2 2" xfId="53332" xr:uid="{00000000-0005-0000-0000-000014D10000}"/>
    <cellStyle name="Warning Text 2 2 2 4 3" xfId="53333" xr:uid="{00000000-0005-0000-0000-000015D10000}"/>
    <cellStyle name="Warning Text 2 2 2 5" xfId="53334" xr:uid="{00000000-0005-0000-0000-000016D10000}"/>
    <cellStyle name="Warning Text 2 2 3" xfId="53335" xr:uid="{00000000-0005-0000-0000-000017D10000}"/>
    <cellStyle name="Warning Text 2 2 3 2" xfId="53336" xr:uid="{00000000-0005-0000-0000-000018D10000}"/>
    <cellStyle name="Warning Text 2 2 3 2 2" xfId="53337" xr:uid="{00000000-0005-0000-0000-000019D10000}"/>
    <cellStyle name="Warning Text 2 2 3 2 2 2" xfId="53338" xr:uid="{00000000-0005-0000-0000-00001AD10000}"/>
    <cellStyle name="Warning Text 2 2 3 2 3" xfId="53339" xr:uid="{00000000-0005-0000-0000-00001BD10000}"/>
    <cellStyle name="Warning Text 2 2 3 2 3 2" xfId="53340" xr:uid="{00000000-0005-0000-0000-00001CD10000}"/>
    <cellStyle name="Warning Text 2 2 3 2 3 2 2" xfId="53341" xr:uid="{00000000-0005-0000-0000-00001DD10000}"/>
    <cellStyle name="Warning Text 2 2 3 2 3 3" xfId="53342" xr:uid="{00000000-0005-0000-0000-00001ED10000}"/>
    <cellStyle name="Warning Text 2 2 3 2 4" xfId="53343" xr:uid="{00000000-0005-0000-0000-00001FD10000}"/>
    <cellStyle name="Warning Text 2 2 3 3" xfId="53344" xr:uid="{00000000-0005-0000-0000-000020D10000}"/>
    <cellStyle name="Warning Text 2 2 3 3 2" xfId="53345" xr:uid="{00000000-0005-0000-0000-000021D10000}"/>
    <cellStyle name="Warning Text 2 2 3 3 2 2" xfId="53346" xr:uid="{00000000-0005-0000-0000-000022D10000}"/>
    <cellStyle name="Warning Text 2 2 3 3 3" xfId="53347" xr:uid="{00000000-0005-0000-0000-000023D10000}"/>
    <cellStyle name="Warning Text 2 2 3 4" xfId="53348" xr:uid="{00000000-0005-0000-0000-000024D10000}"/>
    <cellStyle name="Warning Text 2 2 3 4 2" xfId="53349" xr:uid="{00000000-0005-0000-0000-000025D10000}"/>
    <cellStyle name="Warning Text 2 2 3 4 2 2" xfId="53350" xr:uid="{00000000-0005-0000-0000-000026D10000}"/>
    <cellStyle name="Warning Text 2 2 3 4 3" xfId="53351" xr:uid="{00000000-0005-0000-0000-000027D10000}"/>
    <cellStyle name="Warning Text 2 2 3 5" xfId="53352" xr:uid="{00000000-0005-0000-0000-000028D10000}"/>
    <cellStyle name="Warning Text 2 2 3 5 2" xfId="53353" xr:uid="{00000000-0005-0000-0000-000029D10000}"/>
    <cellStyle name="Warning Text 2 2 3 5 2 2" xfId="53354" xr:uid="{00000000-0005-0000-0000-00002AD10000}"/>
    <cellStyle name="Warning Text 2 2 3 5 3" xfId="53355" xr:uid="{00000000-0005-0000-0000-00002BD10000}"/>
    <cellStyle name="Warning Text 2 2 3 6" xfId="53356" xr:uid="{00000000-0005-0000-0000-00002CD10000}"/>
    <cellStyle name="Warning Text 2 2 4" xfId="53357" xr:uid="{00000000-0005-0000-0000-00002DD10000}"/>
    <cellStyle name="Warning Text 2 2 4 2" xfId="53358" xr:uid="{00000000-0005-0000-0000-00002ED10000}"/>
    <cellStyle name="Warning Text 2 2 4 2 2" xfId="53359" xr:uid="{00000000-0005-0000-0000-00002FD10000}"/>
    <cellStyle name="Warning Text 2 2 4 3" xfId="53360" xr:uid="{00000000-0005-0000-0000-000030D10000}"/>
    <cellStyle name="Warning Text 2 2 5" xfId="53361" xr:uid="{00000000-0005-0000-0000-000031D10000}"/>
    <cellStyle name="Warning Text 2 2 5 2" xfId="53362" xr:uid="{00000000-0005-0000-0000-000032D10000}"/>
    <cellStyle name="Warning Text 2 2 5 2 2" xfId="53363" xr:uid="{00000000-0005-0000-0000-000033D10000}"/>
    <cellStyle name="Warning Text 2 2 5 3" xfId="53364" xr:uid="{00000000-0005-0000-0000-000034D10000}"/>
    <cellStyle name="Warning Text 2 2 6" xfId="53365" xr:uid="{00000000-0005-0000-0000-000035D10000}"/>
    <cellStyle name="Warning Text 2 2 6 2" xfId="53366" xr:uid="{00000000-0005-0000-0000-000036D10000}"/>
    <cellStyle name="Warning Text 2 2 6 2 2" xfId="53367" xr:uid="{00000000-0005-0000-0000-000037D10000}"/>
    <cellStyle name="Warning Text 2 2 6 3" xfId="53368" xr:uid="{00000000-0005-0000-0000-000038D10000}"/>
    <cellStyle name="Warning Text 2 2 7" xfId="53369" xr:uid="{00000000-0005-0000-0000-000039D10000}"/>
    <cellStyle name="Warning Text 2 3" xfId="53370" xr:uid="{00000000-0005-0000-0000-00003AD10000}"/>
    <cellStyle name="Warning Text 2 3 2" xfId="53371" xr:uid="{00000000-0005-0000-0000-00003BD10000}"/>
    <cellStyle name="Warning Text 2 3 2 2" xfId="53372" xr:uid="{00000000-0005-0000-0000-00003CD10000}"/>
    <cellStyle name="Warning Text 2 3 2 2 2" xfId="53373" xr:uid="{00000000-0005-0000-0000-00003DD10000}"/>
    <cellStyle name="Warning Text 2 3 2 3" xfId="53374" xr:uid="{00000000-0005-0000-0000-00003ED10000}"/>
    <cellStyle name="Warning Text 2 3 2 3 2" xfId="53375" xr:uid="{00000000-0005-0000-0000-00003FD10000}"/>
    <cellStyle name="Warning Text 2 3 2 3 2 2" xfId="53376" xr:uid="{00000000-0005-0000-0000-000040D10000}"/>
    <cellStyle name="Warning Text 2 3 2 3 3" xfId="53377" xr:uid="{00000000-0005-0000-0000-000041D10000}"/>
    <cellStyle name="Warning Text 2 3 2 4" xfId="53378" xr:uid="{00000000-0005-0000-0000-000042D10000}"/>
    <cellStyle name="Warning Text 2 3 2 4 2" xfId="53379" xr:uid="{00000000-0005-0000-0000-000043D10000}"/>
    <cellStyle name="Warning Text 2 3 2 4 2 2" xfId="53380" xr:uid="{00000000-0005-0000-0000-000044D10000}"/>
    <cellStyle name="Warning Text 2 3 2 4 3" xfId="53381" xr:uid="{00000000-0005-0000-0000-000045D10000}"/>
    <cellStyle name="Warning Text 2 3 2 5" xfId="53382" xr:uid="{00000000-0005-0000-0000-000046D10000}"/>
    <cellStyle name="Warning Text 2 3 3" xfId="53383" xr:uid="{00000000-0005-0000-0000-000047D10000}"/>
    <cellStyle name="Warning Text 2 3 3 2" xfId="53384" xr:uid="{00000000-0005-0000-0000-000048D10000}"/>
    <cellStyle name="Warning Text 2 3 3 2 2" xfId="53385" xr:uid="{00000000-0005-0000-0000-000049D10000}"/>
    <cellStyle name="Warning Text 2 3 3 2 2 2" xfId="53386" xr:uid="{00000000-0005-0000-0000-00004AD10000}"/>
    <cellStyle name="Warning Text 2 3 3 2 3" xfId="53387" xr:uid="{00000000-0005-0000-0000-00004BD10000}"/>
    <cellStyle name="Warning Text 2 3 3 2 3 2" xfId="53388" xr:uid="{00000000-0005-0000-0000-00004CD10000}"/>
    <cellStyle name="Warning Text 2 3 3 2 3 2 2" xfId="53389" xr:uid="{00000000-0005-0000-0000-00004DD10000}"/>
    <cellStyle name="Warning Text 2 3 3 2 3 3" xfId="53390" xr:uid="{00000000-0005-0000-0000-00004ED10000}"/>
    <cellStyle name="Warning Text 2 3 3 2 4" xfId="53391" xr:uid="{00000000-0005-0000-0000-00004FD10000}"/>
    <cellStyle name="Warning Text 2 3 3 3" xfId="53392" xr:uid="{00000000-0005-0000-0000-000050D10000}"/>
    <cellStyle name="Warning Text 2 3 3 3 2" xfId="53393" xr:uid="{00000000-0005-0000-0000-000051D10000}"/>
    <cellStyle name="Warning Text 2 3 3 3 2 2" xfId="53394" xr:uid="{00000000-0005-0000-0000-000052D10000}"/>
    <cellStyle name="Warning Text 2 3 3 3 3" xfId="53395" xr:uid="{00000000-0005-0000-0000-000053D10000}"/>
    <cellStyle name="Warning Text 2 3 3 4" xfId="53396" xr:uid="{00000000-0005-0000-0000-000054D10000}"/>
    <cellStyle name="Warning Text 2 3 3 4 2" xfId="53397" xr:uid="{00000000-0005-0000-0000-000055D10000}"/>
    <cellStyle name="Warning Text 2 3 3 4 2 2" xfId="53398" xr:uid="{00000000-0005-0000-0000-000056D10000}"/>
    <cellStyle name="Warning Text 2 3 3 4 3" xfId="53399" xr:uid="{00000000-0005-0000-0000-000057D10000}"/>
    <cellStyle name="Warning Text 2 3 3 5" xfId="53400" xr:uid="{00000000-0005-0000-0000-000058D10000}"/>
    <cellStyle name="Warning Text 2 3 3 5 2" xfId="53401" xr:uid="{00000000-0005-0000-0000-000059D10000}"/>
    <cellStyle name="Warning Text 2 3 3 5 2 2" xfId="53402" xr:uid="{00000000-0005-0000-0000-00005AD10000}"/>
    <cellStyle name="Warning Text 2 3 3 5 3" xfId="53403" xr:uid="{00000000-0005-0000-0000-00005BD10000}"/>
    <cellStyle name="Warning Text 2 3 3 6" xfId="53404" xr:uid="{00000000-0005-0000-0000-00005CD10000}"/>
    <cellStyle name="Warning Text 2 3 4" xfId="53405" xr:uid="{00000000-0005-0000-0000-00005DD10000}"/>
    <cellStyle name="Warning Text 2 3 4 2" xfId="53406" xr:uid="{00000000-0005-0000-0000-00005ED10000}"/>
    <cellStyle name="Warning Text 2 3 4 2 2" xfId="53407" xr:uid="{00000000-0005-0000-0000-00005FD10000}"/>
    <cellStyle name="Warning Text 2 3 4 3" xfId="53408" xr:uid="{00000000-0005-0000-0000-000060D10000}"/>
    <cellStyle name="Warning Text 2 3 5" xfId="53409" xr:uid="{00000000-0005-0000-0000-000061D10000}"/>
    <cellStyle name="Warning Text 2 3 5 2" xfId="53410" xr:uid="{00000000-0005-0000-0000-000062D10000}"/>
    <cellStyle name="Warning Text 2 3 5 2 2" xfId="53411" xr:uid="{00000000-0005-0000-0000-000063D10000}"/>
    <cellStyle name="Warning Text 2 3 5 3" xfId="53412" xr:uid="{00000000-0005-0000-0000-000064D10000}"/>
    <cellStyle name="Warning Text 2 3 6" xfId="53413" xr:uid="{00000000-0005-0000-0000-000065D10000}"/>
    <cellStyle name="Warning Text 2 3 6 2" xfId="53414" xr:uid="{00000000-0005-0000-0000-000066D10000}"/>
    <cellStyle name="Warning Text 2 3 6 2 2" xfId="53415" xr:uid="{00000000-0005-0000-0000-000067D10000}"/>
    <cellStyle name="Warning Text 2 3 6 3" xfId="53416" xr:uid="{00000000-0005-0000-0000-000068D10000}"/>
    <cellStyle name="Warning Text 2 3 7" xfId="53417" xr:uid="{00000000-0005-0000-0000-000069D10000}"/>
    <cellStyle name="Warning Text 2 4" xfId="53418" xr:uid="{00000000-0005-0000-0000-00006AD10000}"/>
    <cellStyle name="Warning Text 2 4 2" xfId="53419" xr:uid="{00000000-0005-0000-0000-00006BD10000}"/>
    <cellStyle name="Warning Text 2 4 2 2" xfId="53420" xr:uid="{00000000-0005-0000-0000-00006CD10000}"/>
    <cellStyle name="Warning Text 2 4 2 2 2" xfId="53421" xr:uid="{00000000-0005-0000-0000-00006DD10000}"/>
    <cellStyle name="Warning Text 2 4 2 3" xfId="53422" xr:uid="{00000000-0005-0000-0000-00006ED10000}"/>
    <cellStyle name="Warning Text 2 4 2 3 2" xfId="53423" xr:uid="{00000000-0005-0000-0000-00006FD10000}"/>
    <cellStyle name="Warning Text 2 4 2 3 2 2" xfId="53424" xr:uid="{00000000-0005-0000-0000-000070D10000}"/>
    <cellStyle name="Warning Text 2 4 2 3 3" xfId="53425" xr:uid="{00000000-0005-0000-0000-000071D10000}"/>
    <cellStyle name="Warning Text 2 4 2 4" xfId="53426" xr:uid="{00000000-0005-0000-0000-000072D10000}"/>
    <cellStyle name="Warning Text 2 4 2 4 2" xfId="53427" xr:uid="{00000000-0005-0000-0000-000073D10000}"/>
    <cellStyle name="Warning Text 2 4 2 4 2 2" xfId="53428" xr:uid="{00000000-0005-0000-0000-000074D10000}"/>
    <cellStyle name="Warning Text 2 4 2 4 3" xfId="53429" xr:uid="{00000000-0005-0000-0000-000075D10000}"/>
    <cellStyle name="Warning Text 2 4 2 5" xfId="53430" xr:uid="{00000000-0005-0000-0000-000076D10000}"/>
    <cellStyle name="Warning Text 2 4 3" xfId="53431" xr:uid="{00000000-0005-0000-0000-000077D10000}"/>
    <cellStyle name="Warning Text 2 4 3 2" xfId="53432" xr:uid="{00000000-0005-0000-0000-000078D10000}"/>
    <cellStyle name="Warning Text 2 4 3 2 2" xfId="53433" xr:uid="{00000000-0005-0000-0000-000079D10000}"/>
    <cellStyle name="Warning Text 2 4 3 3" xfId="53434" xr:uid="{00000000-0005-0000-0000-00007AD10000}"/>
    <cellStyle name="Warning Text 2 4 4" xfId="53435" xr:uid="{00000000-0005-0000-0000-00007BD10000}"/>
    <cellStyle name="Warning Text 2 4 4 2" xfId="53436" xr:uid="{00000000-0005-0000-0000-00007CD10000}"/>
    <cellStyle name="Warning Text 2 4 4 2 2" xfId="53437" xr:uid="{00000000-0005-0000-0000-00007DD10000}"/>
    <cellStyle name="Warning Text 2 4 4 3" xfId="53438" xr:uid="{00000000-0005-0000-0000-00007ED10000}"/>
    <cellStyle name="Warning Text 2 4 5" xfId="53439" xr:uid="{00000000-0005-0000-0000-00007FD10000}"/>
    <cellStyle name="Warning Text 2 4 5 2" xfId="53440" xr:uid="{00000000-0005-0000-0000-000080D10000}"/>
    <cellStyle name="Warning Text 2 4 5 2 2" xfId="53441" xr:uid="{00000000-0005-0000-0000-000081D10000}"/>
    <cellStyle name="Warning Text 2 4 5 3" xfId="53442" xr:uid="{00000000-0005-0000-0000-000082D10000}"/>
    <cellStyle name="Warning Text 2 4 6" xfId="53443" xr:uid="{00000000-0005-0000-0000-000083D10000}"/>
    <cellStyle name="Warning Text 2 5" xfId="53444" xr:uid="{00000000-0005-0000-0000-000084D10000}"/>
    <cellStyle name="Warning Text 2 5 2" xfId="53445" xr:uid="{00000000-0005-0000-0000-000085D10000}"/>
    <cellStyle name="Warning Text 2 5 2 2" xfId="53446" xr:uid="{00000000-0005-0000-0000-000086D10000}"/>
    <cellStyle name="Warning Text 2 5 2 2 2" xfId="53447" xr:uid="{00000000-0005-0000-0000-000087D10000}"/>
    <cellStyle name="Warning Text 2 5 2 3" xfId="53448" xr:uid="{00000000-0005-0000-0000-000088D10000}"/>
    <cellStyle name="Warning Text 2 5 2 3 2" xfId="53449" xr:uid="{00000000-0005-0000-0000-000089D10000}"/>
    <cellStyle name="Warning Text 2 5 2 3 2 2" xfId="53450" xr:uid="{00000000-0005-0000-0000-00008AD10000}"/>
    <cellStyle name="Warning Text 2 5 2 3 3" xfId="53451" xr:uid="{00000000-0005-0000-0000-00008BD10000}"/>
    <cellStyle name="Warning Text 2 5 2 4" xfId="53452" xr:uid="{00000000-0005-0000-0000-00008CD10000}"/>
    <cellStyle name="Warning Text 2 5 2 4 2" xfId="53453" xr:uid="{00000000-0005-0000-0000-00008DD10000}"/>
    <cellStyle name="Warning Text 2 5 2 4 2 2" xfId="53454" xr:uid="{00000000-0005-0000-0000-00008ED10000}"/>
    <cellStyle name="Warning Text 2 5 2 4 3" xfId="53455" xr:uid="{00000000-0005-0000-0000-00008FD10000}"/>
    <cellStyle name="Warning Text 2 5 2 5" xfId="53456" xr:uid="{00000000-0005-0000-0000-000090D10000}"/>
    <cellStyle name="Warning Text 2 5 3" xfId="53457" xr:uid="{00000000-0005-0000-0000-000091D10000}"/>
    <cellStyle name="Warning Text 2 5 3 2" xfId="53458" xr:uid="{00000000-0005-0000-0000-000092D10000}"/>
    <cellStyle name="Warning Text 2 5 3 2 2" xfId="53459" xr:uid="{00000000-0005-0000-0000-000093D10000}"/>
    <cellStyle name="Warning Text 2 5 3 3" xfId="53460" xr:uid="{00000000-0005-0000-0000-000094D10000}"/>
    <cellStyle name="Warning Text 2 5 3 3 2" xfId="53461" xr:uid="{00000000-0005-0000-0000-000095D10000}"/>
    <cellStyle name="Warning Text 2 5 3 3 2 2" xfId="53462" xr:uid="{00000000-0005-0000-0000-000096D10000}"/>
    <cellStyle name="Warning Text 2 5 3 3 3" xfId="53463" xr:uid="{00000000-0005-0000-0000-000097D10000}"/>
    <cellStyle name="Warning Text 2 5 3 4" xfId="53464" xr:uid="{00000000-0005-0000-0000-000098D10000}"/>
    <cellStyle name="Warning Text 2 5 4" xfId="53465" xr:uid="{00000000-0005-0000-0000-000099D10000}"/>
    <cellStyle name="Warning Text 2 5 4 2" xfId="53466" xr:uid="{00000000-0005-0000-0000-00009AD10000}"/>
    <cellStyle name="Warning Text 2 5 4 2 2" xfId="53467" xr:uid="{00000000-0005-0000-0000-00009BD10000}"/>
    <cellStyle name="Warning Text 2 5 4 3" xfId="53468" xr:uid="{00000000-0005-0000-0000-00009CD10000}"/>
    <cellStyle name="Warning Text 2 5 5" xfId="53469" xr:uid="{00000000-0005-0000-0000-00009DD10000}"/>
    <cellStyle name="Warning Text 2 5 5 2" xfId="53470" xr:uid="{00000000-0005-0000-0000-00009ED10000}"/>
    <cellStyle name="Warning Text 2 5 5 2 2" xfId="53471" xr:uid="{00000000-0005-0000-0000-00009FD10000}"/>
    <cellStyle name="Warning Text 2 5 5 3" xfId="53472" xr:uid="{00000000-0005-0000-0000-0000A0D10000}"/>
    <cellStyle name="Warning Text 2 5 6" xfId="53473" xr:uid="{00000000-0005-0000-0000-0000A1D10000}"/>
    <cellStyle name="Warning Text 2 5 6 2" xfId="53474" xr:uid="{00000000-0005-0000-0000-0000A2D10000}"/>
    <cellStyle name="Warning Text 2 5 6 2 2" xfId="53475" xr:uid="{00000000-0005-0000-0000-0000A3D10000}"/>
    <cellStyle name="Warning Text 2 5 6 3" xfId="53476" xr:uid="{00000000-0005-0000-0000-0000A4D10000}"/>
    <cellStyle name="Warning Text 2 5 7" xfId="53477" xr:uid="{00000000-0005-0000-0000-0000A5D10000}"/>
    <cellStyle name="Warning Text 2 6" xfId="53478" xr:uid="{00000000-0005-0000-0000-0000A6D10000}"/>
    <cellStyle name="Warning Text 2 6 2" xfId="53479" xr:uid="{00000000-0005-0000-0000-0000A7D10000}"/>
    <cellStyle name="Warning Text 2 6 2 2" xfId="53480" xr:uid="{00000000-0005-0000-0000-0000A8D10000}"/>
    <cellStyle name="Warning Text 2 6 3" xfId="53481" xr:uid="{00000000-0005-0000-0000-0000A9D10000}"/>
    <cellStyle name="Warning Text 2 7" xfId="53482" xr:uid="{00000000-0005-0000-0000-0000AAD10000}"/>
    <cellStyle name="Warning Text 2 7 2" xfId="53483" xr:uid="{00000000-0005-0000-0000-0000ABD10000}"/>
    <cellStyle name="Warning Text 2 7 2 2" xfId="53484" xr:uid="{00000000-0005-0000-0000-0000ACD10000}"/>
    <cellStyle name="Warning Text 2 7 3" xfId="53485" xr:uid="{00000000-0005-0000-0000-0000ADD10000}"/>
    <cellStyle name="Warning Text 2 8" xfId="53486" xr:uid="{00000000-0005-0000-0000-0000AED10000}"/>
    <cellStyle name="Warning Text 2 8 2" xfId="53487" xr:uid="{00000000-0005-0000-0000-0000AFD10000}"/>
    <cellStyle name="Warning Text 2 8 2 2" xfId="53488" xr:uid="{00000000-0005-0000-0000-0000B0D10000}"/>
    <cellStyle name="Warning Text 2 8 3" xfId="53489" xr:uid="{00000000-0005-0000-0000-0000B1D10000}"/>
    <cellStyle name="Warning Text 2 9" xfId="53490" xr:uid="{00000000-0005-0000-0000-0000B2D10000}"/>
    <cellStyle name="Warning Text 2 9 2" xfId="53491" xr:uid="{00000000-0005-0000-0000-0000B3D10000}"/>
    <cellStyle name="Warning Text 2 9 2 2" xfId="53492" xr:uid="{00000000-0005-0000-0000-0000B4D10000}"/>
    <cellStyle name="Warning Text 2 9 3" xfId="53493" xr:uid="{00000000-0005-0000-0000-0000B5D10000}"/>
    <cellStyle name="Warning Text 3" xfId="53494" xr:uid="{00000000-0005-0000-0000-0000B6D10000}"/>
    <cellStyle name="Warning Text 3 2" xfId="53495" xr:uid="{00000000-0005-0000-0000-0000B7D10000}"/>
    <cellStyle name="Warning Text 3 2 2" xfId="53496" xr:uid="{00000000-0005-0000-0000-0000B8D10000}"/>
    <cellStyle name="Warning Text 3 2 2 2" xfId="53497" xr:uid="{00000000-0005-0000-0000-0000B9D10000}"/>
    <cellStyle name="Warning Text 3 2 3" xfId="53498" xr:uid="{00000000-0005-0000-0000-0000BAD10000}"/>
    <cellStyle name="Warning Text 3 2 3 2" xfId="53499" xr:uid="{00000000-0005-0000-0000-0000BBD10000}"/>
    <cellStyle name="Warning Text 3 2 3 2 2" xfId="53500" xr:uid="{00000000-0005-0000-0000-0000BCD10000}"/>
    <cellStyle name="Warning Text 3 2 3 3" xfId="53501" xr:uid="{00000000-0005-0000-0000-0000BDD10000}"/>
    <cellStyle name="Warning Text 3 2 4" xfId="53502" xr:uid="{00000000-0005-0000-0000-0000BED10000}"/>
    <cellStyle name="Warning Text 3 2 4 2" xfId="53503" xr:uid="{00000000-0005-0000-0000-0000BFD10000}"/>
    <cellStyle name="Warning Text 3 2 4 2 2" xfId="53504" xr:uid="{00000000-0005-0000-0000-0000C0D10000}"/>
    <cellStyle name="Warning Text 3 2 4 3" xfId="53505" xr:uid="{00000000-0005-0000-0000-0000C1D10000}"/>
    <cellStyle name="Warning Text 3 2 5" xfId="53506" xr:uid="{00000000-0005-0000-0000-0000C2D10000}"/>
    <cellStyle name="Warning Text 3 3" xfId="53507" xr:uid="{00000000-0005-0000-0000-0000C3D10000}"/>
    <cellStyle name="Warning Text 3 3 2" xfId="53508" xr:uid="{00000000-0005-0000-0000-0000C4D10000}"/>
    <cellStyle name="Warning Text 3 3 2 2" xfId="53509" xr:uid="{00000000-0005-0000-0000-0000C5D10000}"/>
    <cellStyle name="Warning Text 3 3 3" xfId="53510" xr:uid="{00000000-0005-0000-0000-0000C6D10000}"/>
    <cellStyle name="Warning Text 3 3 3 2" xfId="53511" xr:uid="{00000000-0005-0000-0000-0000C7D10000}"/>
    <cellStyle name="Warning Text 3 3 3 2 2" xfId="53512" xr:uid="{00000000-0005-0000-0000-0000C8D10000}"/>
    <cellStyle name="Warning Text 3 3 3 3" xfId="53513" xr:uid="{00000000-0005-0000-0000-0000C9D10000}"/>
    <cellStyle name="Warning Text 3 3 4" xfId="53514" xr:uid="{00000000-0005-0000-0000-0000CAD10000}"/>
    <cellStyle name="Warning Text 3 3 4 2" xfId="53515" xr:uid="{00000000-0005-0000-0000-0000CBD10000}"/>
    <cellStyle name="Warning Text 3 3 4 2 2" xfId="53516" xr:uid="{00000000-0005-0000-0000-0000CCD10000}"/>
    <cellStyle name="Warning Text 3 3 4 3" xfId="53517" xr:uid="{00000000-0005-0000-0000-0000CDD10000}"/>
    <cellStyle name="Warning Text 3 3 5" xfId="53518" xr:uid="{00000000-0005-0000-0000-0000CED10000}"/>
    <cellStyle name="Warning Text 3 4" xfId="53519" xr:uid="{00000000-0005-0000-0000-0000CFD10000}"/>
    <cellStyle name="Warning Text 3 4 2" xfId="53520" xr:uid="{00000000-0005-0000-0000-0000D0D10000}"/>
    <cellStyle name="Warning Text 3 4 2 2" xfId="53521" xr:uid="{00000000-0005-0000-0000-0000D1D10000}"/>
    <cellStyle name="Warning Text 3 4 2 2 2" xfId="53522" xr:uid="{00000000-0005-0000-0000-0000D2D10000}"/>
    <cellStyle name="Warning Text 3 4 2 3" xfId="53523" xr:uid="{00000000-0005-0000-0000-0000D3D10000}"/>
    <cellStyle name="Warning Text 3 4 2 3 2" xfId="53524" xr:uid="{00000000-0005-0000-0000-0000D4D10000}"/>
    <cellStyle name="Warning Text 3 4 2 3 2 2" xfId="53525" xr:uid="{00000000-0005-0000-0000-0000D5D10000}"/>
    <cellStyle name="Warning Text 3 4 2 3 3" xfId="53526" xr:uid="{00000000-0005-0000-0000-0000D6D10000}"/>
    <cellStyle name="Warning Text 3 4 2 4" xfId="53527" xr:uid="{00000000-0005-0000-0000-0000D7D10000}"/>
    <cellStyle name="Warning Text 3 4 3" xfId="53528" xr:uid="{00000000-0005-0000-0000-0000D8D10000}"/>
    <cellStyle name="Warning Text 3 4 3 2" xfId="53529" xr:uid="{00000000-0005-0000-0000-0000D9D10000}"/>
    <cellStyle name="Warning Text 3 4 3 2 2" xfId="53530" xr:uid="{00000000-0005-0000-0000-0000DAD10000}"/>
    <cellStyle name="Warning Text 3 4 3 3" xfId="53531" xr:uid="{00000000-0005-0000-0000-0000DBD10000}"/>
    <cellStyle name="Warning Text 3 4 4" xfId="53532" xr:uid="{00000000-0005-0000-0000-0000DCD10000}"/>
    <cellStyle name="Warning Text 3 4 4 2" xfId="53533" xr:uid="{00000000-0005-0000-0000-0000DDD10000}"/>
    <cellStyle name="Warning Text 3 4 4 2 2" xfId="53534" xr:uid="{00000000-0005-0000-0000-0000DED10000}"/>
    <cellStyle name="Warning Text 3 4 4 3" xfId="53535" xr:uid="{00000000-0005-0000-0000-0000DFD10000}"/>
    <cellStyle name="Warning Text 3 4 5" xfId="53536" xr:uid="{00000000-0005-0000-0000-0000E0D10000}"/>
    <cellStyle name="Warning Text 3 4 5 2" xfId="53537" xr:uid="{00000000-0005-0000-0000-0000E1D10000}"/>
    <cellStyle name="Warning Text 3 4 5 2 2" xfId="53538" xr:uid="{00000000-0005-0000-0000-0000E2D10000}"/>
    <cellStyle name="Warning Text 3 4 5 3" xfId="53539" xr:uid="{00000000-0005-0000-0000-0000E3D10000}"/>
    <cellStyle name="Warning Text 3 4 6" xfId="53540" xr:uid="{00000000-0005-0000-0000-0000E4D10000}"/>
    <cellStyle name="Warning Text 3 5" xfId="53541" xr:uid="{00000000-0005-0000-0000-0000E5D10000}"/>
    <cellStyle name="Warning Text 3 5 2" xfId="53542" xr:uid="{00000000-0005-0000-0000-0000E6D10000}"/>
    <cellStyle name="Warning Text 3 5 2 2" xfId="53543" xr:uid="{00000000-0005-0000-0000-0000E7D10000}"/>
    <cellStyle name="Warning Text 3 5 3" xfId="53544" xr:uid="{00000000-0005-0000-0000-0000E8D10000}"/>
    <cellStyle name="Warning Text 3 6" xfId="53545" xr:uid="{00000000-0005-0000-0000-0000E9D10000}"/>
    <cellStyle name="Warning Text 3 6 2" xfId="53546" xr:uid="{00000000-0005-0000-0000-0000EAD10000}"/>
    <cellStyle name="Warning Text 3 6 2 2" xfId="53547" xr:uid="{00000000-0005-0000-0000-0000EBD10000}"/>
    <cellStyle name="Warning Text 3 6 3" xfId="53548" xr:uid="{00000000-0005-0000-0000-0000ECD10000}"/>
    <cellStyle name="Warning Text 3 7" xfId="53549" xr:uid="{00000000-0005-0000-0000-0000EDD10000}"/>
    <cellStyle name="Warning Text 3 7 2" xfId="53550" xr:uid="{00000000-0005-0000-0000-0000EED10000}"/>
    <cellStyle name="Warning Text 3 7 2 2" xfId="53551" xr:uid="{00000000-0005-0000-0000-0000EFD10000}"/>
    <cellStyle name="Warning Text 3 7 3" xfId="53552" xr:uid="{00000000-0005-0000-0000-0000F0D10000}"/>
    <cellStyle name="Warning Text 3 8" xfId="53553" xr:uid="{00000000-0005-0000-0000-0000F1D10000}"/>
    <cellStyle name="Warning Text 4" xfId="53554" xr:uid="{00000000-0005-0000-0000-0000F2D10000}"/>
    <cellStyle name="Warning Text 4 2" xfId="53555" xr:uid="{00000000-0005-0000-0000-0000F3D10000}"/>
    <cellStyle name="Warning Text 4 2 2" xfId="53556" xr:uid="{00000000-0005-0000-0000-0000F4D10000}"/>
    <cellStyle name="Warning Text 4 2 2 2" xfId="53557" xr:uid="{00000000-0005-0000-0000-0000F5D10000}"/>
    <cellStyle name="Warning Text 4 2 3" xfId="53558" xr:uid="{00000000-0005-0000-0000-0000F6D10000}"/>
    <cellStyle name="Warning Text 4 2 3 2" xfId="53559" xr:uid="{00000000-0005-0000-0000-0000F7D10000}"/>
    <cellStyle name="Warning Text 4 2 3 2 2" xfId="53560" xr:uid="{00000000-0005-0000-0000-0000F8D10000}"/>
    <cellStyle name="Warning Text 4 2 3 3" xfId="53561" xr:uid="{00000000-0005-0000-0000-0000F9D10000}"/>
    <cellStyle name="Warning Text 4 2 4" xfId="53562" xr:uid="{00000000-0005-0000-0000-0000FAD10000}"/>
    <cellStyle name="Warning Text 4 2 4 2" xfId="53563" xr:uid="{00000000-0005-0000-0000-0000FBD10000}"/>
    <cellStyle name="Warning Text 4 2 4 2 2" xfId="53564" xr:uid="{00000000-0005-0000-0000-0000FCD10000}"/>
    <cellStyle name="Warning Text 4 2 4 3" xfId="53565" xr:uid="{00000000-0005-0000-0000-0000FDD10000}"/>
    <cellStyle name="Warning Text 4 2 5" xfId="53566" xr:uid="{00000000-0005-0000-0000-0000FED10000}"/>
    <cellStyle name="Warning Text 4 3" xfId="53567" xr:uid="{00000000-0005-0000-0000-0000FFD10000}"/>
    <cellStyle name="Warning Text 4 3 2" xfId="53568" xr:uid="{00000000-0005-0000-0000-000000D20000}"/>
    <cellStyle name="Warning Text 4 3 2 2" xfId="53569" xr:uid="{00000000-0005-0000-0000-000001D20000}"/>
    <cellStyle name="Warning Text 4 3 2 2 2" xfId="53570" xr:uid="{00000000-0005-0000-0000-000002D20000}"/>
    <cellStyle name="Warning Text 4 3 2 3" xfId="53571" xr:uid="{00000000-0005-0000-0000-000003D20000}"/>
    <cellStyle name="Warning Text 4 3 2 3 2" xfId="53572" xr:uid="{00000000-0005-0000-0000-000004D20000}"/>
    <cellStyle name="Warning Text 4 3 2 3 2 2" xfId="53573" xr:uid="{00000000-0005-0000-0000-000005D20000}"/>
    <cellStyle name="Warning Text 4 3 2 3 3" xfId="53574" xr:uid="{00000000-0005-0000-0000-000006D20000}"/>
    <cellStyle name="Warning Text 4 3 2 4" xfId="53575" xr:uid="{00000000-0005-0000-0000-000007D20000}"/>
    <cellStyle name="Warning Text 4 3 3" xfId="53576" xr:uid="{00000000-0005-0000-0000-000008D20000}"/>
    <cellStyle name="Warning Text 4 3 3 2" xfId="53577" xr:uid="{00000000-0005-0000-0000-000009D20000}"/>
    <cellStyle name="Warning Text 4 3 3 2 2" xfId="53578" xr:uid="{00000000-0005-0000-0000-00000AD20000}"/>
    <cellStyle name="Warning Text 4 3 3 3" xfId="53579" xr:uid="{00000000-0005-0000-0000-00000BD20000}"/>
    <cellStyle name="Warning Text 4 3 4" xfId="53580" xr:uid="{00000000-0005-0000-0000-00000CD20000}"/>
    <cellStyle name="Warning Text 4 3 4 2" xfId="53581" xr:uid="{00000000-0005-0000-0000-00000DD20000}"/>
    <cellStyle name="Warning Text 4 3 4 2 2" xfId="53582" xr:uid="{00000000-0005-0000-0000-00000ED20000}"/>
    <cellStyle name="Warning Text 4 3 4 3" xfId="53583" xr:uid="{00000000-0005-0000-0000-00000FD20000}"/>
    <cellStyle name="Warning Text 4 3 5" xfId="53584" xr:uid="{00000000-0005-0000-0000-000010D20000}"/>
    <cellStyle name="Warning Text 4 3 5 2" xfId="53585" xr:uid="{00000000-0005-0000-0000-000011D20000}"/>
    <cellStyle name="Warning Text 4 3 5 2 2" xfId="53586" xr:uid="{00000000-0005-0000-0000-000012D20000}"/>
    <cellStyle name="Warning Text 4 3 5 3" xfId="53587" xr:uid="{00000000-0005-0000-0000-000013D20000}"/>
    <cellStyle name="Warning Text 4 3 6" xfId="53588" xr:uid="{00000000-0005-0000-0000-000014D20000}"/>
    <cellStyle name="Warning Text 4 4" xfId="53589" xr:uid="{00000000-0005-0000-0000-000015D20000}"/>
    <cellStyle name="Warning Text 4 4 2" xfId="53590" xr:uid="{00000000-0005-0000-0000-000016D20000}"/>
    <cellStyle name="Warning Text 4 4 2 2" xfId="53591" xr:uid="{00000000-0005-0000-0000-000017D20000}"/>
    <cellStyle name="Warning Text 4 4 3" xfId="53592" xr:uid="{00000000-0005-0000-0000-000018D20000}"/>
    <cellStyle name="Warning Text 4 5" xfId="53593" xr:uid="{00000000-0005-0000-0000-000019D20000}"/>
    <cellStyle name="Warning Text 4 5 2" xfId="53594" xr:uid="{00000000-0005-0000-0000-00001AD20000}"/>
    <cellStyle name="Warning Text 4 5 2 2" xfId="53595" xr:uid="{00000000-0005-0000-0000-00001BD20000}"/>
    <cellStyle name="Warning Text 4 5 3" xfId="53596" xr:uid="{00000000-0005-0000-0000-00001CD20000}"/>
    <cellStyle name="Warning Text 4 6" xfId="53597" xr:uid="{00000000-0005-0000-0000-00001DD20000}"/>
    <cellStyle name="Warning Text 4 6 2" xfId="53598" xr:uid="{00000000-0005-0000-0000-00001ED20000}"/>
    <cellStyle name="Warning Text 4 6 2 2" xfId="53599" xr:uid="{00000000-0005-0000-0000-00001FD20000}"/>
    <cellStyle name="Warning Text 4 6 3" xfId="53600" xr:uid="{00000000-0005-0000-0000-000020D20000}"/>
    <cellStyle name="Warning Text 4 7" xfId="53601" xr:uid="{00000000-0005-0000-0000-000021D20000}"/>
    <cellStyle name="Warning Text 5" xfId="53602" xr:uid="{00000000-0005-0000-0000-000022D20000}"/>
    <cellStyle name="Warning Text 5 2" xfId="53603" xr:uid="{00000000-0005-0000-0000-000023D20000}"/>
    <cellStyle name="Warning Text 5 2 2" xfId="53604" xr:uid="{00000000-0005-0000-0000-000024D20000}"/>
    <cellStyle name="Warning Text 5 2 2 2" xfId="53605" xr:uid="{00000000-0005-0000-0000-000025D20000}"/>
    <cellStyle name="Warning Text 5 2 3" xfId="53606" xr:uid="{00000000-0005-0000-0000-000026D20000}"/>
    <cellStyle name="Warning Text 5 2 3 2" xfId="53607" xr:uid="{00000000-0005-0000-0000-000027D20000}"/>
    <cellStyle name="Warning Text 5 2 3 2 2" xfId="53608" xr:uid="{00000000-0005-0000-0000-000028D20000}"/>
    <cellStyle name="Warning Text 5 2 3 3" xfId="53609" xr:uid="{00000000-0005-0000-0000-000029D20000}"/>
    <cellStyle name="Warning Text 5 2 4" xfId="53610" xr:uid="{00000000-0005-0000-0000-00002AD20000}"/>
    <cellStyle name="Warning Text 5 2 4 2" xfId="53611" xr:uid="{00000000-0005-0000-0000-00002BD20000}"/>
    <cellStyle name="Warning Text 5 2 4 2 2" xfId="53612" xr:uid="{00000000-0005-0000-0000-00002CD20000}"/>
    <cellStyle name="Warning Text 5 2 4 3" xfId="53613" xr:uid="{00000000-0005-0000-0000-00002DD20000}"/>
    <cellStyle name="Warning Text 5 2 5" xfId="53614" xr:uid="{00000000-0005-0000-0000-00002ED20000}"/>
    <cellStyle name="Warning Text 5 3" xfId="53615" xr:uid="{00000000-0005-0000-0000-00002FD20000}"/>
    <cellStyle name="Warning Text 5 3 2" xfId="53616" xr:uid="{00000000-0005-0000-0000-000030D20000}"/>
    <cellStyle name="Warning Text 5 3 2 2" xfId="53617" xr:uid="{00000000-0005-0000-0000-000031D20000}"/>
    <cellStyle name="Warning Text 5 3 2 2 2" xfId="53618" xr:uid="{00000000-0005-0000-0000-000032D20000}"/>
    <cellStyle name="Warning Text 5 3 2 3" xfId="53619" xr:uid="{00000000-0005-0000-0000-000033D20000}"/>
    <cellStyle name="Warning Text 5 3 2 3 2" xfId="53620" xr:uid="{00000000-0005-0000-0000-000034D20000}"/>
    <cellStyle name="Warning Text 5 3 2 3 2 2" xfId="53621" xr:uid="{00000000-0005-0000-0000-000035D20000}"/>
    <cellStyle name="Warning Text 5 3 2 3 3" xfId="53622" xr:uid="{00000000-0005-0000-0000-000036D20000}"/>
    <cellStyle name="Warning Text 5 3 2 4" xfId="53623" xr:uid="{00000000-0005-0000-0000-000037D20000}"/>
    <cellStyle name="Warning Text 5 3 3" xfId="53624" xr:uid="{00000000-0005-0000-0000-000038D20000}"/>
    <cellStyle name="Warning Text 5 3 3 2" xfId="53625" xr:uid="{00000000-0005-0000-0000-000039D20000}"/>
    <cellStyle name="Warning Text 5 3 3 2 2" xfId="53626" xr:uid="{00000000-0005-0000-0000-00003AD20000}"/>
    <cellStyle name="Warning Text 5 3 3 3" xfId="53627" xr:uid="{00000000-0005-0000-0000-00003BD20000}"/>
    <cellStyle name="Warning Text 5 3 4" xfId="53628" xr:uid="{00000000-0005-0000-0000-00003CD20000}"/>
    <cellStyle name="Warning Text 5 3 4 2" xfId="53629" xr:uid="{00000000-0005-0000-0000-00003DD20000}"/>
    <cellStyle name="Warning Text 5 3 4 2 2" xfId="53630" xr:uid="{00000000-0005-0000-0000-00003ED20000}"/>
    <cellStyle name="Warning Text 5 3 4 3" xfId="53631" xr:uid="{00000000-0005-0000-0000-00003FD20000}"/>
    <cellStyle name="Warning Text 5 3 5" xfId="53632" xr:uid="{00000000-0005-0000-0000-000040D20000}"/>
    <cellStyle name="Warning Text 5 3 5 2" xfId="53633" xr:uid="{00000000-0005-0000-0000-000041D20000}"/>
    <cellStyle name="Warning Text 5 3 5 2 2" xfId="53634" xr:uid="{00000000-0005-0000-0000-000042D20000}"/>
    <cellStyle name="Warning Text 5 3 5 3" xfId="53635" xr:uid="{00000000-0005-0000-0000-000043D20000}"/>
    <cellStyle name="Warning Text 5 3 6" xfId="53636" xr:uid="{00000000-0005-0000-0000-000044D20000}"/>
    <cellStyle name="Warning Text 5 4" xfId="53637" xr:uid="{00000000-0005-0000-0000-000045D20000}"/>
    <cellStyle name="Warning Text 5 4 2" xfId="53638" xr:uid="{00000000-0005-0000-0000-000046D20000}"/>
    <cellStyle name="Warning Text 5 4 2 2" xfId="53639" xr:uid="{00000000-0005-0000-0000-000047D20000}"/>
    <cellStyle name="Warning Text 5 4 3" xfId="53640" xr:uid="{00000000-0005-0000-0000-000048D20000}"/>
    <cellStyle name="Warning Text 5 5" xfId="53641" xr:uid="{00000000-0005-0000-0000-000049D20000}"/>
    <cellStyle name="Warning Text 5 5 2" xfId="53642" xr:uid="{00000000-0005-0000-0000-00004AD20000}"/>
    <cellStyle name="Warning Text 5 5 2 2" xfId="53643" xr:uid="{00000000-0005-0000-0000-00004BD20000}"/>
    <cellStyle name="Warning Text 5 5 3" xfId="53644" xr:uid="{00000000-0005-0000-0000-00004CD20000}"/>
    <cellStyle name="Warning Text 5 6" xfId="53645" xr:uid="{00000000-0005-0000-0000-00004DD20000}"/>
    <cellStyle name="Warning Text 5 6 2" xfId="53646" xr:uid="{00000000-0005-0000-0000-00004ED20000}"/>
    <cellStyle name="Warning Text 5 6 2 2" xfId="53647" xr:uid="{00000000-0005-0000-0000-00004FD20000}"/>
    <cellStyle name="Warning Text 5 6 3" xfId="53648" xr:uid="{00000000-0005-0000-0000-000050D20000}"/>
    <cellStyle name="Warning Text 5 7" xfId="53649" xr:uid="{00000000-0005-0000-0000-000051D20000}"/>
    <cellStyle name="Warning Text 6" xfId="53650" xr:uid="{00000000-0005-0000-0000-000052D20000}"/>
    <cellStyle name="Warning Text 6 2" xfId="53651" xr:uid="{00000000-0005-0000-0000-000053D20000}"/>
    <cellStyle name="Warning Text 6 2 2" xfId="53652" xr:uid="{00000000-0005-0000-0000-000054D20000}"/>
    <cellStyle name="Warning Text 6 2 2 2" xfId="53653" xr:uid="{00000000-0005-0000-0000-000055D20000}"/>
    <cellStyle name="Warning Text 6 2 3" xfId="53654" xr:uid="{00000000-0005-0000-0000-000056D20000}"/>
    <cellStyle name="Warning Text 6 2 3 2" xfId="53655" xr:uid="{00000000-0005-0000-0000-000057D20000}"/>
    <cellStyle name="Warning Text 6 2 3 2 2" xfId="53656" xr:uid="{00000000-0005-0000-0000-000058D20000}"/>
    <cellStyle name="Warning Text 6 2 3 3" xfId="53657" xr:uid="{00000000-0005-0000-0000-000059D20000}"/>
    <cellStyle name="Warning Text 6 2 4" xfId="53658" xr:uid="{00000000-0005-0000-0000-00005AD20000}"/>
    <cellStyle name="Warning Text 6 2 4 2" xfId="53659" xr:uid="{00000000-0005-0000-0000-00005BD20000}"/>
    <cellStyle name="Warning Text 6 2 4 2 2" xfId="53660" xr:uid="{00000000-0005-0000-0000-00005CD20000}"/>
    <cellStyle name="Warning Text 6 2 4 3" xfId="53661" xr:uid="{00000000-0005-0000-0000-00005DD20000}"/>
    <cellStyle name="Warning Text 6 2 5" xfId="53662" xr:uid="{00000000-0005-0000-0000-00005ED20000}"/>
    <cellStyle name="Warning Text 6 3" xfId="53663" xr:uid="{00000000-0005-0000-0000-00005FD20000}"/>
    <cellStyle name="Warning Text 6 3 2" xfId="53664" xr:uid="{00000000-0005-0000-0000-000060D20000}"/>
    <cellStyle name="Warning Text 6 3 2 2" xfId="53665" xr:uid="{00000000-0005-0000-0000-000061D20000}"/>
    <cellStyle name="Warning Text 6 3 3" xfId="53666" xr:uid="{00000000-0005-0000-0000-000062D20000}"/>
    <cellStyle name="Warning Text 6 4" xfId="53667" xr:uid="{00000000-0005-0000-0000-000063D20000}"/>
    <cellStyle name="Warning Text 6 4 2" xfId="53668" xr:uid="{00000000-0005-0000-0000-000064D20000}"/>
    <cellStyle name="Warning Text 6 4 2 2" xfId="53669" xr:uid="{00000000-0005-0000-0000-000065D20000}"/>
    <cellStyle name="Warning Text 6 4 3" xfId="53670" xr:uid="{00000000-0005-0000-0000-000066D20000}"/>
    <cellStyle name="Warning Text 6 5" xfId="53671" xr:uid="{00000000-0005-0000-0000-000067D20000}"/>
    <cellStyle name="Warning Text 6 5 2" xfId="53672" xr:uid="{00000000-0005-0000-0000-000068D20000}"/>
    <cellStyle name="Warning Text 6 5 2 2" xfId="53673" xr:uid="{00000000-0005-0000-0000-000069D20000}"/>
    <cellStyle name="Warning Text 6 5 3" xfId="53674" xr:uid="{00000000-0005-0000-0000-00006AD20000}"/>
    <cellStyle name="Warning Text 6 6" xfId="53675" xr:uid="{00000000-0005-0000-0000-00006BD20000}"/>
    <cellStyle name="Warning Text 7" xfId="53676" xr:uid="{00000000-0005-0000-0000-00006CD20000}"/>
    <cellStyle name="Warning Text 7 2" xfId="53677" xr:uid="{00000000-0005-0000-0000-00006DD20000}"/>
    <cellStyle name="Warning Text 8" xfId="53678" xr:uid="{00000000-0005-0000-0000-00006ED20000}"/>
    <cellStyle name="Warning Text 9" xfId="53679" xr:uid="{00000000-0005-0000-0000-00006FD20000}"/>
    <cellStyle name="white" xfId="53680" xr:uid="{00000000-0005-0000-0000-000070D20000}"/>
    <cellStyle name="white 2" xfId="53681" xr:uid="{00000000-0005-0000-0000-000071D20000}"/>
    <cellStyle name="white 3" xfId="53682" xr:uid="{00000000-0005-0000-0000-000072D20000}"/>
    <cellStyle name="white 3 2" xfId="53683" xr:uid="{00000000-0005-0000-0000-000073D20000}"/>
    <cellStyle name="white 3 2 2" xfId="53684" xr:uid="{00000000-0005-0000-0000-000074D20000}"/>
    <cellStyle name="white 3 3" xfId="53685" xr:uid="{00000000-0005-0000-0000-000075D20000}"/>
    <cellStyle name="white 4" xfId="53686" xr:uid="{00000000-0005-0000-0000-000076D20000}"/>
    <cellStyle name="white 4 2" xfId="53687" xr:uid="{00000000-0005-0000-0000-000077D20000}"/>
    <cellStyle name="white 4 2 2" xfId="53688" xr:uid="{00000000-0005-0000-0000-000078D20000}"/>
    <cellStyle name="white 4 3" xfId="53689" xr:uid="{00000000-0005-0000-0000-000079D20000}"/>
    <cellStyle name="wrap" xfId="53690" xr:uid="{00000000-0005-0000-0000-00007AD20000}"/>
    <cellStyle name="wrap 2" xfId="53691" xr:uid="{00000000-0005-0000-0000-00007BD20000}"/>
    <cellStyle name="wrap 3" xfId="53692" xr:uid="{00000000-0005-0000-0000-00007CD20000}"/>
    <cellStyle name="wrap 3 2" xfId="53693" xr:uid="{00000000-0005-0000-0000-00007DD20000}"/>
    <cellStyle name="wrap 3 2 2" xfId="53694" xr:uid="{00000000-0005-0000-0000-00007ED20000}"/>
    <cellStyle name="wrap 3 3" xfId="53695" xr:uid="{00000000-0005-0000-0000-00007FD20000}"/>
    <cellStyle name="wrap 4" xfId="53696" xr:uid="{00000000-0005-0000-0000-000080D20000}"/>
    <cellStyle name="wrap 4 2" xfId="53697" xr:uid="{00000000-0005-0000-0000-000081D20000}"/>
    <cellStyle name="wrap 4 2 2" xfId="53698" xr:uid="{00000000-0005-0000-0000-000082D20000}"/>
    <cellStyle name="wrap 4 3" xfId="53699" xr:uid="{00000000-0005-0000-0000-000083D20000}"/>
  </cellStyles>
  <dxfs count="1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ill>
        <patternFill>
          <bgColor indexed="42"/>
        </patternFill>
      </fill>
    </dxf>
    <dxf>
      <font>
        <condense val="0"/>
        <extend val="0"/>
        <color auto="1"/>
      </font>
    </dxf>
    <dxf>
      <font>
        <condense val="0"/>
        <extend val="0"/>
        <color auto="1"/>
      </font>
    </dxf>
  </dxfs>
  <tableStyles count="0" defaultTableStyle="TableStyleMedium9" defaultPivotStyle="PivotStyleLight16"/>
  <colors>
    <mruColors>
      <color rgb="FFFFCCCC"/>
      <color rgb="FFCCFFCC"/>
      <color rgb="FFCCECFF"/>
      <color rgb="FF99FFCC"/>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4578-7BD4-45D4-9D73-D1495C016D57}">
  <dimension ref="A2:K11"/>
  <sheetViews>
    <sheetView zoomScaleNormal="100" workbookViewId="0"/>
  </sheetViews>
  <sheetFormatPr defaultColWidth="9.453125" defaultRowHeight="12.5"/>
  <cols>
    <col min="1" max="2" width="9.453125" style="1048"/>
    <col min="3" max="3" width="8.453125" style="1048" customWidth="1"/>
    <col min="4" max="16384" width="9.453125" style="1048"/>
  </cols>
  <sheetData>
    <row r="2" spans="1:11" ht="28">
      <c r="C2" s="1388"/>
      <c r="D2" s="1389"/>
      <c r="E2" s="1389"/>
      <c r="F2" s="1389"/>
      <c r="G2" s="1389"/>
      <c r="H2" s="1389"/>
    </row>
    <row r="3" spans="1:11">
      <c r="D3" s="476"/>
    </row>
    <row r="4" spans="1:11" ht="23">
      <c r="B4" s="1390"/>
      <c r="C4" s="1390"/>
      <c r="D4" s="1390"/>
      <c r="E4" s="1390"/>
      <c r="F4" s="1390"/>
      <c r="G4" s="1390"/>
      <c r="H4" s="1390"/>
      <c r="I4" s="1390"/>
    </row>
    <row r="5" spans="1:11" ht="23">
      <c r="B5" s="1286"/>
      <c r="C5" s="1286"/>
      <c r="D5" s="1390"/>
      <c r="E5" s="1389"/>
      <c r="F5" s="1389"/>
      <c r="G5" s="1389"/>
      <c r="H5" s="1286"/>
      <c r="I5" s="1286"/>
    </row>
    <row r="6" spans="1:11" ht="23">
      <c r="B6" s="1286"/>
      <c r="C6" s="1286"/>
      <c r="D6" s="1286"/>
      <c r="E6" s="497"/>
      <c r="F6" s="497"/>
      <c r="G6" s="497"/>
      <c r="H6" s="1286"/>
      <c r="I6" s="1286"/>
    </row>
    <row r="7" spans="1:11" ht="23">
      <c r="B7" s="1286"/>
      <c r="C7" s="1286"/>
      <c r="D7" s="1286"/>
      <c r="E7" s="497"/>
      <c r="F7" s="497"/>
      <c r="G7" s="497"/>
      <c r="H7" s="1286"/>
      <c r="I7" s="1286"/>
    </row>
    <row r="9" spans="1:11" ht="25">
      <c r="A9" s="1391" t="s">
        <v>2594</v>
      </c>
      <c r="B9" s="1391"/>
      <c r="C9" s="1391"/>
      <c r="D9" s="1391"/>
      <c r="E9" s="1391"/>
      <c r="F9" s="1391"/>
      <c r="G9" s="1391"/>
      <c r="H9" s="1391"/>
      <c r="I9" s="1391"/>
      <c r="J9" s="1391"/>
      <c r="K9" s="1391"/>
    </row>
    <row r="10" spans="1:11" ht="13">
      <c r="D10" s="1"/>
    </row>
    <row r="11" spans="1:11" ht="45" customHeight="1">
      <c r="A11" s="1392" t="s">
        <v>2595</v>
      </c>
      <c r="B11" s="1393"/>
      <c r="C11" s="1393"/>
      <c r="D11" s="1393"/>
      <c r="E11" s="1393"/>
      <c r="F11" s="1393"/>
      <c r="G11" s="1393"/>
      <c r="H11" s="1393"/>
      <c r="I11" s="1393"/>
      <c r="J11" s="1393"/>
      <c r="K11" s="1393"/>
    </row>
  </sheetData>
  <mergeCells count="5">
    <mergeCell ref="C2:H2"/>
    <mergeCell ref="B4:I4"/>
    <mergeCell ref="D5:G5"/>
    <mergeCell ref="A9:K9"/>
    <mergeCell ref="A11:K11"/>
  </mergeCells>
  <pageMargins left="0.7" right="0.7" top="0.75" bottom="0.75" header="0.3" footer="0.3"/>
  <pageSetup scale="92" orientation="portrait" r:id="rId1"/>
  <headerFooter>
    <oddHeader>&amp;C&amp;"Arial,Bold"
&amp;RTO2021 Annual Update
Attachment 5
TO2018 True Up TRR</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6:B135"/>
  <sheetViews>
    <sheetView zoomScale="90" zoomScaleNormal="90" zoomScalePageLayoutView="80" workbookViewId="0"/>
  </sheetViews>
  <sheetFormatPr defaultColWidth="8.54296875" defaultRowHeight="12.5"/>
  <cols>
    <col min="1" max="1" width="5.54296875" customWidth="1"/>
    <col min="2" max="2" width="28.453125" customWidth="1"/>
    <col min="3" max="4" width="12.54296875" customWidth="1"/>
    <col min="5" max="5" width="15.54296875" customWidth="1"/>
    <col min="6" max="6" width="16.54296875" customWidth="1"/>
    <col min="7" max="7" width="8.453125" customWidth="1"/>
    <col min="8" max="8" width="10.54296875" customWidth="1"/>
    <col min="9" max="9" width="13.54296875" customWidth="1"/>
    <col min="10" max="10" width="7.54296875" customWidth="1"/>
    <col min="11" max="11" width="18.54296875" customWidth="1"/>
    <col min="12" max="12" width="13.54296875" customWidth="1"/>
    <col min="14" max="14" width="20.54296875" customWidth="1"/>
  </cols>
  <sheetData>
    <row r="6" spans="2:2" s="1048" customFormat="1" ht="20">
      <c r="B6" s="1272" t="s">
        <v>2547</v>
      </c>
    </row>
    <row r="49" ht="13.4" customHeight="1"/>
    <row r="135" ht="40.4" customHeight="1"/>
  </sheetData>
  <pageMargins left="0.7" right="0.7" top="0.75" bottom="0.75" header="0.3" footer="0.3"/>
  <pageSetup scale="65" orientation="landscape" r:id="rId1"/>
  <headerFooter>
    <oddHeader>&amp;CSchedule 5 ROR-3
Return and Capitalization&amp;RTO2021 Annual Update
Attachment 5
TO2018 True Up TRR</oddHeader>
    <oddFooter>&amp;R5-ROR-3</oddFooter>
  </headerFooter>
  <rowBreaks count="4" manualBreakCount="4">
    <brk id="58" max="16383" man="1"/>
    <brk id="91" max="16383" man="1"/>
    <brk id="131" max="16383" man="1"/>
    <brk id="172"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6:B40"/>
  <sheetViews>
    <sheetView zoomScaleNormal="100" zoomScalePageLayoutView="70" workbookViewId="0"/>
  </sheetViews>
  <sheetFormatPr defaultColWidth="8.54296875" defaultRowHeight="12.5"/>
  <cols>
    <col min="1" max="1" width="4.54296875" customWidth="1"/>
    <col min="2" max="2" width="28.54296875" customWidth="1"/>
    <col min="3" max="4" width="12.54296875" customWidth="1"/>
    <col min="5" max="5" width="14.54296875" customWidth="1"/>
    <col min="6" max="12" width="12.54296875" customWidth="1"/>
  </cols>
  <sheetData>
    <row r="6" spans="2:2" s="1048" customFormat="1" ht="20">
      <c r="B6" s="1272" t="s">
        <v>2547</v>
      </c>
    </row>
    <row r="21" ht="55.4" customHeight="1"/>
    <row r="40" ht="55.4" customHeight="1"/>
  </sheetData>
  <pageMargins left="0.7" right="0.7" top="0.75" bottom="0.75" header="0.3" footer="0.3"/>
  <pageSetup scale="70" orientation="landscape" r:id="rId1"/>
  <headerFooter>
    <oddHeader>&amp;CSchedule 5 ROR-4
Return and Capitalization&amp;RTO2021 Annual Update
Attachment 5
TO2018 True Up TRR</oddHeader>
    <oddFooter>&amp;R5-ROR-4</oddFooter>
  </headerFooter>
  <rowBreaks count="1" manualBreakCount="1">
    <brk id="51"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R235"/>
  <sheetViews>
    <sheetView topLeftCell="A124" zoomScaleNormal="100" zoomScalePageLayoutView="90" workbookViewId="0"/>
  </sheetViews>
  <sheetFormatPr defaultColWidth="8.54296875" defaultRowHeight="12.5"/>
  <cols>
    <col min="1" max="1" width="4.54296875" style="1048" customWidth="1"/>
    <col min="2" max="2" width="10.54296875" style="1048" customWidth="1"/>
    <col min="3" max="6" width="13.54296875" style="1048" customWidth="1"/>
    <col min="7" max="7" width="14.453125" style="1048" customWidth="1"/>
    <col min="8" max="12" width="13.54296875" style="1048" customWidth="1"/>
    <col min="13" max="13" width="15.54296875" style="1048" customWidth="1"/>
    <col min="14" max="14" width="8.54296875" style="1048"/>
    <col min="15" max="15" width="14.453125" style="1048" customWidth="1"/>
    <col min="16" max="16" width="15.453125" style="1048" customWidth="1"/>
    <col min="17" max="16384" width="8.54296875" style="1048"/>
  </cols>
  <sheetData>
    <row r="1" spans="1:13" ht="13">
      <c r="A1" s="394" t="s">
        <v>1185</v>
      </c>
      <c r="B1" s="230"/>
      <c r="C1" s="230"/>
      <c r="D1" s="230"/>
      <c r="E1" s="230"/>
      <c r="F1" s="230"/>
      <c r="G1" s="230"/>
      <c r="H1" s="230"/>
      <c r="I1" s="1054" t="s">
        <v>17</v>
      </c>
      <c r="J1" s="1051"/>
      <c r="K1" s="230"/>
      <c r="L1" s="230"/>
    </row>
    <row r="2" spans="1:13" ht="13">
      <c r="A2" s="394"/>
      <c r="B2" s="230"/>
      <c r="C2" s="230"/>
      <c r="D2" s="230"/>
      <c r="E2" s="230"/>
      <c r="F2" s="230"/>
      <c r="G2" s="230"/>
      <c r="H2" s="230"/>
      <c r="I2" s="230"/>
      <c r="J2" s="230"/>
      <c r="K2" s="230"/>
      <c r="L2" s="230"/>
    </row>
    <row r="3" spans="1:13" ht="13">
      <c r="A3" s="394"/>
      <c r="B3" s="394" t="s">
        <v>321</v>
      </c>
      <c r="C3" s="230"/>
      <c r="D3" s="230"/>
      <c r="E3" s="230"/>
      <c r="F3" s="230"/>
      <c r="G3" s="230"/>
      <c r="H3" s="230"/>
      <c r="I3" s="230"/>
      <c r="J3" s="230"/>
      <c r="K3" s="230"/>
      <c r="L3" s="230"/>
    </row>
    <row r="4" spans="1:13" ht="13">
      <c r="A4" s="394"/>
      <c r="B4" s="394"/>
      <c r="C4" s="230"/>
      <c r="D4" s="230"/>
      <c r="E4" s="230"/>
      <c r="F4" s="230"/>
      <c r="G4" s="230"/>
      <c r="H4" s="230"/>
      <c r="I4" s="230"/>
      <c r="J4" s="230"/>
      <c r="K4" s="230"/>
      <c r="L4" s="230"/>
    </row>
    <row r="5" spans="1:13" ht="13">
      <c r="A5" s="394"/>
      <c r="B5" s="476" t="s">
        <v>1531</v>
      </c>
      <c r="C5" s="230"/>
      <c r="D5" s="230"/>
      <c r="E5" s="230"/>
      <c r="F5" s="230"/>
      <c r="G5" s="230"/>
      <c r="H5" s="476"/>
      <c r="I5" s="935" t="s">
        <v>1724</v>
      </c>
      <c r="J5" s="934">
        <v>2019</v>
      </c>
      <c r="K5" s="230"/>
      <c r="L5" s="230"/>
    </row>
    <row r="6" spans="1:13" ht="13">
      <c r="A6" s="394"/>
      <c r="B6" s="476"/>
      <c r="C6" s="230"/>
      <c r="D6" s="230"/>
      <c r="E6" s="230"/>
      <c r="F6" s="230"/>
      <c r="G6" s="230"/>
      <c r="H6" s="230"/>
      <c r="I6" s="230"/>
      <c r="J6" s="230"/>
      <c r="K6" s="230"/>
      <c r="L6" s="230"/>
    </row>
    <row r="7" spans="1:13" ht="13">
      <c r="A7" s="394"/>
      <c r="B7" s="84" t="s">
        <v>359</v>
      </c>
      <c r="C7" s="84" t="s">
        <v>343</v>
      </c>
      <c r="D7" s="84" t="s">
        <v>344</v>
      </c>
      <c r="E7" s="84" t="s">
        <v>345</v>
      </c>
      <c r="F7" s="84" t="s">
        <v>346</v>
      </c>
      <c r="G7" s="84" t="s">
        <v>347</v>
      </c>
      <c r="H7" s="84" t="s">
        <v>348</v>
      </c>
      <c r="I7" s="84" t="s">
        <v>537</v>
      </c>
      <c r="J7" s="84" t="s">
        <v>954</v>
      </c>
      <c r="K7" s="84" t="s">
        <v>967</v>
      </c>
      <c r="L7" s="84" t="s">
        <v>970</v>
      </c>
      <c r="M7" s="84" t="s">
        <v>988</v>
      </c>
    </row>
    <row r="8" spans="1:13" ht="13">
      <c r="A8" s="230"/>
      <c r="B8" s="452"/>
      <c r="C8" s="230"/>
      <c r="D8" s="230"/>
      <c r="E8" s="230"/>
      <c r="F8" s="230"/>
      <c r="G8" s="230"/>
      <c r="H8" s="230"/>
      <c r="I8" s="230"/>
      <c r="J8" s="230"/>
      <c r="K8" s="230"/>
      <c r="M8" s="247" t="s">
        <v>1220</v>
      </c>
    </row>
    <row r="9" spans="1:13" ht="13">
      <c r="A9" s="230"/>
      <c r="B9" s="109"/>
      <c r="C9" s="84"/>
      <c r="D9" s="84"/>
      <c r="E9" s="230"/>
      <c r="F9" s="230"/>
      <c r="G9" s="230"/>
      <c r="H9" s="230"/>
      <c r="I9" s="230"/>
      <c r="J9" s="230"/>
      <c r="K9" s="230"/>
      <c r="L9" s="230"/>
    </row>
    <row r="10" spans="1:13" ht="13">
      <c r="A10" s="51" t="s">
        <v>330</v>
      </c>
      <c r="B10" s="123" t="s">
        <v>1760</v>
      </c>
      <c r="C10" s="84">
        <v>350.1</v>
      </c>
      <c r="D10" s="84">
        <v>350.2</v>
      </c>
      <c r="E10" s="84">
        <v>352</v>
      </c>
      <c r="F10" s="84">
        <v>353</v>
      </c>
      <c r="G10" s="84">
        <v>354</v>
      </c>
      <c r="H10" s="84">
        <v>355</v>
      </c>
      <c r="I10" s="84">
        <v>356</v>
      </c>
      <c r="J10" s="84">
        <v>357</v>
      </c>
      <c r="K10" s="84">
        <v>358</v>
      </c>
      <c r="L10" s="84">
        <v>359</v>
      </c>
      <c r="M10" s="3" t="s">
        <v>196</v>
      </c>
    </row>
    <row r="11" spans="1:13" ht="13">
      <c r="A11" s="572">
        <v>1</v>
      </c>
      <c r="B11" s="1014" t="s">
        <v>2494</v>
      </c>
      <c r="C11" s="509">
        <v>87352690.455148399</v>
      </c>
      <c r="D11" s="569">
        <v>165261946.55087399</v>
      </c>
      <c r="E11" s="1056">
        <v>643675309.98467612</v>
      </c>
      <c r="F11" s="509">
        <v>3459763553.0279365</v>
      </c>
      <c r="G11" s="509">
        <v>2284709795.0439997</v>
      </c>
      <c r="H11" s="509">
        <v>386542290.96381313</v>
      </c>
      <c r="I11" s="509">
        <v>1311509387.1831667</v>
      </c>
      <c r="J11" s="509">
        <v>190891202.00003627</v>
      </c>
      <c r="K11" s="509">
        <v>83989219.000066027</v>
      </c>
      <c r="L11" s="509">
        <v>173783603.00000003</v>
      </c>
      <c r="M11" s="232">
        <f t="shared" ref="M11:M23" si="0">SUM(C11:L11)</f>
        <v>8787478997.2097168</v>
      </c>
    </row>
    <row r="12" spans="1:13" ht="13">
      <c r="A12" s="572">
        <f>A11+1</f>
        <v>2</v>
      </c>
      <c r="B12" s="732" t="s">
        <v>2607</v>
      </c>
      <c r="C12" s="234">
        <f>C130+C197 +C11</f>
        <v>87356155.797575638</v>
      </c>
      <c r="D12" s="234">
        <f>D130+D197 +D11</f>
        <v>165217772.22775602</v>
      </c>
      <c r="E12" s="234">
        <f t="shared" ref="E12:L12" si="1">E130+E197 +E11</f>
        <v>646001649.72808814</v>
      </c>
      <c r="F12" s="234">
        <f t="shared" si="1"/>
        <v>3462904493.8507605</v>
      </c>
      <c r="G12" s="234">
        <f t="shared" si="1"/>
        <v>2273515090.3975925</v>
      </c>
      <c r="H12" s="234">
        <f t="shared" si="1"/>
        <v>392609454.77819699</v>
      </c>
      <c r="I12" s="234">
        <f t="shared" si="1"/>
        <v>1319770640.9577789</v>
      </c>
      <c r="J12" s="234">
        <f t="shared" si="1"/>
        <v>190887474.38222408</v>
      </c>
      <c r="K12" s="234">
        <f t="shared" si="1"/>
        <v>83987440.191650137</v>
      </c>
      <c r="L12" s="234">
        <f t="shared" si="1"/>
        <v>173793754.13508439</v>
      </c>
      <c r="M12" s="232">
        <f t="shared" si="0"/>
        <v>8796043926.4467068</v>
      </c>
    </row>
    <row r="13" spans="1:13" ht="13">
      <c r="A13" s="572">
        <f t="shared" ref="A13:A24" si="2">A12+1</f>
        <v>3</v>
      </c>
      <c r="B13" s="731" t="s">
        <v>2596</v>
      </c>
      <c r="C13" s="234">
        <f t="shared" ref="C13:D22" si="3">C131+C198 +C12</f>
        <v>87378283.397575647</v>
      </c>
      <c r="D13" s="234">
        <f t="shared" si="3"/>
        <v>165238733.9709281</v>
      </c>
      <c r="E13" s="234">
        <f t="shared" ref="E13:E22" si="4">E131+E198 +E12</f>
        <v>649915490.91427851</v>
      </c>
      <c r="F13" s="234">
        <f t="shared" ref="F13:F22" si="5">F131+F198 +F12</f>
        <v>3463000293.5497246</v>
      </c>
      <c r="G13" s="234">
        <f t="shared" ref="G13:G22" si="6">G131+G198 +G12</f>
        <v>2273899913.0902042</v>
      </c>
      <c r="H13" s="234">
        <f t="shared" ref="H13:H22" si="7">H131+H198 +H12</f>
        <v>394544587.5583322</v>
      </c>
      <c r="I13" s="234">
        <f t="shared" ref="I13:I22" si="8">I131+I198 +I12</f>
        <v>1320181319.0387657</v>
      </c>
      <c r="J13" s="234">
        <f t="shared" ref="J13:J22" si="9">J131+J198 +J12</f>
        <v>190896528.80466503</v>
      </c>
      <c r="K13" s="234">
        <f t="shared" ref="K13:K22" si="10">K131+K198 +K12</f>
        <v>83991813.243796289</v>
      </c>
      <c r="L13" s="234">
        <f t="shared" ref="L13:L22" si="11">L131+L198 +L12</f>
        <v>173965840.29050624</v>
      </c>
      <c r="M13" s="232">
        <f t="shared" si="0"/>
        <v>8803012803.8587761</v>
      </c>
    </row>
    <row r="14" spans="1:13" ht="13">
      <c r="A14" s="572">
        <f t="shared" si="2"/>
        <v>4</v>
      </c>
      <c r="B14" s="731" t="s">
        <v>2597</v>
      </c>
      <c r="C14" s="234">
        <f t="shared" si="3"/>
        <v>87422936.397575647</v>
      </c>
      <c r="D14" s="234">
        <f t="shared" si="3"/>
        <v>165274761.31141976</v>
      </c>
      <c r="E14" s="234">
        <f t="shared" si="4"/>
        <v>656305655.3051796</v>
      </c>
      <c r="F14" s="234">
        <f t="shared" si="5"/>
        <v>3473399158.8300886</v>
      </c>
      <c r="G14" s="234">
        <f t="shared" si="6"/>
        <v>2273589636.4238544</v>
      </c>
      <c r="H14" s="234">
        <f t="shared" si="7"/>
        <v>396552950.73370737</v>
      </c>
      <c r="I14" s="234">
        <f t="shared" si="8"/>
        <v>1322780078.999042</v>
      </c>
      <c r="J14" s="234">
        <f t="shared" si="9"/>
        <v>190915965.14155641</v>
      </c>
      <c r="K14" s="234">
        <f t="shared" si="10"/>
        <v>83998079.695823774</v>
      </c>
      <c r="L14" s="234">
        <f t="shared" si="11"/>
        <v>176594549.02726787</v>
      </c>
      <c r="M14" s="232">
        <f t="shared" si="0"/>
        <v>8826833771.8655167</v>
      </c>
    </row>
    <row r="15" spans="1:13" ht="13">
      <c r="A15" s="572">
        <f t="shared" si="2"/>
        <v>5</v>
      </c>
      <c r="B15" s="732" t="s">
        <v>2598</v>
      </c>
      <c r="C15" s="234">
        <f t="shared" si="3"/>
        <v>87480041.513463184</v>
      </c>
      <c r="D15" s="234">
        <f t="shared" si="3"/>
        <v>165233219.62313735</v>
      </c>
      <c r="E15" s="234">
        <f t="shared" si="4"/>
        <v>656534696.02460039</v>
      </c>
      <c r="F15" s="234">
        <f t="shared" si="5"/>
        <v>3484806815.0543184</v>
      </c>
      <c r="G15" s="234">
        <f t="shared" si="6"/>
        <v>2277229730.4424171</v>
      </c>
      <c r="H15" s="234">
        <f t="shared" si="7"/>
        <v>397457164.28235877</v>
      </c>
      <c r="I15" s="234">
        <f t="shared" si="8"/>
        <v>1339023383.3166633</v>
      </c>
      <c r="J15" s="234">
        <f t="shared" si="9"/>
        <v>190926871.33673123</v>
      </c>
      <c r="K15" s="234">
        <f t="shared" si="10"/>
        <v>84003482.969925135</v>
      </c>
      <c r="L15" s="234">
        <f t="shared" si="11"/>
        <v>176656377.09970364</v>
      </c>
      <c r="M15" s="232">
        <f t="shared" si="0"/>
        <v>8859351781.6633167</v>
      </c>
    </row>
    <row r="16" spans="1:13" ht="13">
      <c r="A16" s="572">
        <f t="shared" si="2"/>
        <v>6</v>
      </c>
      <c r="B16" s="731" t="s">
        <v>2599</v>
      </c>
      <c r="C16" s="234">
        <f t="shared" si="3"/>
        <v>87483624.883834735</v>
      </c>
      <c r="D16" s="234">
        <f t="shared" si="3"/>
        <v>165268205.02870607</v>
      </c>
      <c r="E16" s="234">
        <f t="shared" si="4"/>
        <v>660917188.50644588</v>
      </c>
      <c r="F16" s="234">
        <f t="shared" si="5"/>
        <v>3507319640.2373776</v>
      </c>
      <c r="G16" s="234">
        <f t="shared" si="6"/>
        <v>2278145726.7590322</v>
      </c>
      <c r="H16" s="234">
        <f t="shared" si="7"/>
        <v>398520801.56604367</v>
      </c>
      <c r="I16" s="234">
        <f t="shared" si="8"/>
        <v>1361310693.3430395</v>
      </c>
      <c r="J16" s="234">
        <f t="shared" si="9"/>
        <v>190946304.73330876</v>
      </c>
      <c r="K16" s="234">
        <f t="shared" si="10"/>
        <v>84012373.441688359</v>
      </c>
      <c r="L16" s="234">
        <f t="shared" si="11"/>
        <v>177585902.42037222</v>
      </c>
      <c r="M16" s="232">
        <f t="shared" si="0"/>
        <v>8911510460.9198494</v>
      </c>
    </row>
    <row r="17" spans="1:15" ht="13">
      <c r="A17" s="572">
        <f t="shared" si="2"/>
        <v>7</v>
      </c>
      <c r="B17" s="731" t="s">
        <v>2600</v>
      </c>
      <c r="C17" s="234">
        <f t="shared" si="3"/>
        <v>87557692.034069747</v>
      </c>
      <c r="D17" s="234">
        <f t="shared" si="3"/>
        <v>165408136.3430278</v>
      </c>
      <c r="E17" s="234">
        <f t="shared" si="4"/>
        <v>661485300.18819571</v>
      </c>
      <c r="F17" s="234">
        <f t="shared" si="5"/>
        <v>3511174755.8738618</v>
      </c>
      <c r="G17" s="234">
        <f t="shared" si="6"/>
        <v>2281853520.6046057</v>
      </c>
      <c r="H17" s="234">
        <f t="shared" si="7"/>
        <v>399556990.00535166</v>
      </c>
      <c r="I17" s="234">
        <f t="shared" si="8"/>
        <v>1369808901.6540136</v>
      </c>
      <c r="J17" s="234">
        <f t="shared" si="9"/>
        <v>190952605.14374197</v>
      </c>
      <c r="K17" s="234">
        <f t="shared" si="10"/>
        <v>84019571.495635763</v>
      </c>
      <c r="L17" s="234">
        <f t="shared" si="11"/>
        <v>177579720.21706134</v>
      </c>
      <c r="M17" s="232">
        <f t="shared" si="0"/>
        <v>8929397193.5595665</v>
      </c>
    </row>
    <row r="18" spans="1:15" ht="13">
      <c r="A18" s="572">
        <f t="shared" si="2"/>
        <v>8</v>
      </c>
      <c r="B18" s="732" t="s">
        <v>2601</v>
      </c>
      <c r="C18" s="234">
        <f t="shared" si="3"/>
        <v>87553683.814069748</v>
      </c>
      <c r="D18" s="234">
        <f t="shared" si="3"/>
        <v>165483879.36154321</v>
      </c>
      <c r="E18" s="234">
        <f t="shared" si="4"/>
        <v>661382665.51631856</v>
      </c>
      <c r="F18" s="234">
        <f t="shared" si="5"/>
        <v>3515998242.9279389</v>
      </c>
      <c r="G18" s="234">
        <f t="shared" si="6"/>
        <v>2283177846.3192172</v>
      </c>
      <c r="H18" s="234">
        <f t="shared" si="7"/>
        <v>400761723.2236163</v>
      </c>
      <c r="I18" s="234">
        <f t="shared" si="8"/>
        <v>1371206860.8436511</v>
      </c>
      <c r="J18" s="234">
        <f t="shared" si="9"/>
        <v>215333812.56488377</v>
      </c>
      <c r="K18" s="234">
        <f t="shared" si="10"/>
        <v>59244428.228950471</v>
      </c>
      <c r="L18" s="234">
        <f t="shared" si="11"/>
        <v>177612079.24833342</v>
      </c>
      <c r="M18" s="232">
        <f t="shared" si="0"/>
        <v>8937755222.048521</v>
      </c>
    </row>
    <row r="19" spans="1:15" ht="13">
      <c r="A19" s="572">
        <f t="shared" si="2"/>
        <v>9</v>
      </c>
      <c r="B19" s="731" t="s">
        <v>2602</v>
      </c>
      <c r="C19" s="234">
        <f t="shared" si="3"/>
        <v>87553683.814069748</v>
      </c>
      <c r="D19" s="234">
        <f t="shared" si="3"/>
        <v>165484093.87374327</v>
      </c>
      <c r="E19" s="234">
        <f t="shared" si="4"/>
        <v>674909871.43864024</v>
      </c>
      <c r="F19" s="234">
        <f t="shared" si="5"/>
        <v>3538452630.2068014</v>
      </c>
      <c r="G19" s="234">
        <f t="shared" si="6"/>
        <v>2285134791.815619</v>
      </c>
      <c r="H19" s="234">
        <f t="shared" si="7"/>
        <v>401429531.76485151</v>
      </c>
      <c r="I19" s="234">
        <f t="shared" si="8"/>
        <v>1370067207.3267097</v>
      </c>
      <c r="J19" s="234">
        <f t="shared" si="9"/>
        <v>215340821.97947031</v>
      </c>
      <c r="K19" s="234">
        <f t="shared" si="10"/>
        <v>59244866.79172115</v>
      </c>
      <c r="L19" s="234">
        <f t="shared" si="11"/>
        <v>177615266.92994034</v>
      </c>
      <c r="M19" s="232">
        <f t="shared" si="0"/>
        <v>8975232765.9415684</v>
      </c>
    </row>
    <row r="20" spans="1:15" ht="13">
      <c r="A20" s="572">
        <f t="shared" si="2"/>
        <v>10</v>
      </c>
      <c r="B20" s="731" t="s">
        <v>2603</v>
      </c>
      <c r="C20" s="234">
        <f t="shared" si="3"/>
        <v>87570144.77582708</v>
      </c>
      <c r="D20" s="234">
        <f t="shared" si="3"/>
        <v>165595201.03246102</v>
      </c>
      <c r="E20" s="234">
        <f t="shared" si="4"/>
        <v>677295973.08559442</v>
      </c>
      <c r="F20" s="234">
        <f t="shared" si="5"/>
        <v>3543843021.1083984</v>
      </c>
      <c r="G20" s="234">
        <f t="shared" si="6"/>
        <v>2297900874.677537</v>
      </c>
      <c r="H20" s="234">
        <f t="shared" si="7"/>
        <v>402224730.09936982</v>
      </c>
      <c r="I20" s="234">
        <f t="shared" si="8"/>
        <v>1379053256.7337482</v>
      </c>
      <c r="J20" s="234">
        <f t="shared" si="9"/>
        <v>215347099.57419631</v>
      </c>
      <c r="K20" s="234">
        <f t="shared" si="10"/>
        <v>59245373.248900287</v>
      </c>
      <c r="L20" s="234">
        <f t="shared" si="11"/>
        <v>177619374.09883332</v>
      </c>
      <c r="M20" s="232">
        <f t="shared" si="0"/>
        <v>9005695048.434866</v>
      </c>
    </row>
    <row r="21" spans="1:15" ht="13">
      <c r="A21" s="572">
        <f t="shared" si="2"/>
        <v>11</v>
      </c>
      <c r="B21" s="732" t="s">
        <v>2604</v>
      </c>
      <c r="C21" s="234">
        <f t="shared" si="3"/>
        <v>87569796.354639083</v>
      </c>
      <c r="D21" s="234">
        <f t="shared" si="3"/>
        <v>165598608.52328014</v>
      </c>
      <c r="E21" s="234">
        <f t="shared" si="4"/>
        <v>677882531.62483716</v>
      </c>
      <c r="F21" s="234">
        <f t="shared" si="5"/>
        <v>3550828647.1864853</v>
      </c>
      <c r="G21" s="234">
        <f t="shared" si="6"/>
        <v>2299348771.0964823</v>
      </c>
      <c r="H21" s="234">
        <f t="shared" si="7"/>
        <v>403632407.59406573</v>
      </c>
      <c r="I21" s="234">
        <f t="shared" si="8"/>
        <v>1403798673.0661542</v>
      </c>
      <c r="J21" s="234">
        <f t="shared" si="9"/>
        <v>215352794.50621113</v>
      </c>
      <c r="K21" s="234">
        <f t="shared" si="10"/>
        <v>59245902.41609361</v>
      </c>
      <c r="L21" s="234">
        <f t="shared" si="11"/>
        <v>178258588.02527183</v>
      </c>
      <c r="M21" s="232">
        <f t="shared" si="0"/>
        <v>9041516720.3935204</v>
      </c>
    </row>
    <row r="22" spans="1:15" ht="13">
      <c r="A22" s="572">
        <f t="shared" si="2"/>
        <v>12</v>
      </c>
      <c r="B22" s="732" t="s">
        <v>2605</v>
      </c>
      <c r="C22" s="234">
        <f t="shared" si="3"/>
        <v>88713599.713699505</v>
      </c>
      <c r="D22" s="234">
        <f t="shared" si="3"/>
        <v>165585387.5366627</v>
      </c>
      <c r="E22" s="234">
        <f t="shared" si="4"/>
        <v>677781640.19913304</v>
      </c>
      <c r="F22" s="234">
        <f t="shared" si="5"/>
        <v>3558254573.4971943</v>
      </c>
      <c r="G22" s="234">
        <f t="shared" si="6"/>
        <v>2300875370.6415114</v>
      </c>
      <c r="H22" s="234">
        <f t="shared" si="7"/>
        <v>404634826.6358096</v>
      </c>
      <c r="I22" s="234">
        <f t="shared" si="8"/>
        <v>1406436694.3842559</v>
      </c>
      <c r="J22" s="234">
        <f t="shared" si="9"/>
        <v>215364289.11686331</v>
      </c>
      <c r="K22" s="234">
        <f t="shared" si="10"/>
        <v>59250147.216889076</v>
      </c>
      <c r="L22" s="234">
        <f t="shared" si="11"/>
        <v>178942879.29017994</v>
      </c>
      <c r="M22" s="232">
        <f t="shared" si="0"/>
        <v>9055839408.2321987</v>
      </c>
    </row>
    <row r="23" spans="1:15" ht="13">
      <c r="A23" s="572">
        <f t="shared" si="2"/>
        <v>13</v>
      </c>
      <c r="B23" s="731" t="s">
        <v>2606</v>
      </c>
      <c r="C23" s="115">
        <v>88722949.825873926</v>
      </c>
      <c r="D23" s="115">
        <v>165732565.69245622</v>
      </c>
      <c r="E23" s="459">
        <f>'7-PlantStudy'!E10</f>
        <v>741230571.26955175</v>
      </c>
      <c r="F23" s="459">
        <f>'7-PlantStudy'!E11</f>
        <v>3714934155.6737089</v>
      </c>
      <c r="G23" s="459">
        <f>'7-PlantStudy'!E20</f>
        <v>2305124777.8401799</v>
      </c>
      <c r="H23" s="459">
        <f>'7-PlantStudy'!E21</f>
        <v>408001019.0888837</v>
      </c>
      <c r="I23" s="459">
        <f>'7-PlantStudy'!E22</f>
        <v>1408013215.7482004</v>
      </c>
      <c r="J23" s="459">
        <f>'7-PlantStudy'!E23</f>
        <v>215368701.52640039</v>
      </c>
      <c r="K23" s="459">
        <f>'7-PlantStudy'!E24</f>
        <v>59251565.606308758</v>
      </c>
      <c r="L23" s="459">
        <f>'7-PlantStudy'!E25</f>
        <v>179151598.49303469</v>
      </c>
      <c r="M23" s="366">
        <f t="shared" si="0"/>
        <v>9285531120.7645969</v>
      </c>
      <c r="O23" s="1"/>
    </row>
    <row r="24" spans="1:15" ht="13">
      <c r="A24" s="572">
        <f t="shared" si="2"/>
        <v>14</v>
      </c>
      <c r="B24" s="1168" t="s">
        <v>1186</v>
      </c>
      <c r="C24" s="232">
        <f t="shared" ref="C24:M24" si="12">AVERAGE(C11:C23)</f>
        <v>87670406.367494002</v>
      </c>
      <c r="D24" s="232">
        <f t="shared" si="12"/>
        <v>165414039.3135381</v>
      </c>
      <c r="E24" s="232">
        <f t="shared" si="12"/>
        <v>668101426.44504154</v>
      </c>
      <c r="F24" s="232">
        <f t="shared" si="12"/>
        <v>3521898460.0788145</v>
      </c>
      <c r="G24" s="232">
        <f t="shared" si="12"/>
        <v>2285731218.8578653</v>
      </c>
      <c r="H24" s="232">
        <f t="shared" si="12"/>
        <v>398959113.71495396</v>
      </c>
      <c r="I24" s="232">
        <f t="shared" si="12"/>
        <v>1360227716.353476</v>
      </c>
      <c r="J24" s="232">
        <f t="shared" si="12"/>
        <v>202194190.06232992</v>
      </c>
      <c r="K24" s="232">
        <f t="shared" si="12"/>
        <v>72575712.580572993</v>
      </c>
      <c r="L24" s="232">
        <f t="shared" si="12"/>
        <v>176858425.55966073</v>
      </c>
      <c r="M24" s="232">
        <f t="shared" si="12"/>
        <v>8939630709.3337479</v>
      </c>
    </row>
    <row r="25" spans="1:15">
      <c r="A25" s="476"/>
      <c r="B25" s="476"/>
      <c r="C25" s="476"/>
      <c r="D25" s="476"/>
      <c r="E25" s="476"/>
      <c r="F25" s="476"/>
      <c r="G25" s="476"/>
      <c r="H25" s="476"/>
      <c r="I25" s="476"/>
      <c r="J25" s="476"/>
      <c r="K25" s="476"/>
      <c r="L25" s="476"/>
    </row>
    <row r="26" spans="1:15" ht="13">
      <c r="A26" s="476"/>
      <c r="B26" s="394" t="s">
        <v>322</v>
      </c>
      <c r="C26" s="476"/>
      <c r="D26" s="476"/>
      <c r="E26" s="476"/>
      <c r="F26" s="476"/>
      <c r="G26" s="476"/>
      <c r="H26" s="476"/>
      <c r="I26" s="476"/>
      <c r="J26" s="476"/>
      <c r="K26" s="476"/>
      <c r="L26" s="476"/>
    </row>
    <row r="27" spans="1:15" ht="13">
      <c r="A27" s="476"/>
      <c r="B27" s="394"/>
      <c r="C27" s="476"/>
      <c r="D27" s="476"/>
      <c r="E27" s="476"/>
      <c r="F27" s="476"/>
      <c r="G27" s="476"/>
      <c r="H27" s="476"/>
      <c r="I27" s="476"/>
      <c r="J27" s="476"/>
      <c r="K27" s="476"/>
      <c r="L27" s="476"/>
    </row>
    <row r="28" spans="1:15">
      <c r="A28" s="476"/>
      <c r="B28" s="239" t="s">
        <v>1725</v>
      </c>
      <c r="C28" s="478"/>
      <c r="D28" s="478"/>
      <c r="E28" s="478"/>
      <c r="F28" s="478"/>
      <c r="G28" s="478"/>
      <c r="H28" s="478"/>
      <c r="I28" s="476"/>
      <c r="J28" s="476"/>
      <c r="K28" s="476"/>
      <c r="L28" s="476"/>
    </row>
    <row r="29" spans="1:15" ht="13">
      <c r="A29" s="476"/>
      <c r="B29" s="394"/>
      <c r="C29" s="476"/>
      <c r="D29" s="476"/>
      <c r="E29" s="476"/>
      <c r="F29" s="476"/>
      <c r="G29" s="476"/>
      <c r="H29" s="476"/>
      <c r="I29" s="476"/>
      <c r="J29" s="476"/>
      <c r="K29" s="476"/>
      <c r="L29" s="476"/>
    </row>
    <row r="30" spans="1:15" ht="13">
      <c r="A30" s="394"/>
      <c r="B30" s="84" t="s">
        <v>359</v>
      </c>
      <c r="C30" s="84" t="s">
        <v>343</v>
      </c>
      <c r="D30" s="84" t="s">
        <v>344</v>
      </c>
      <c r="E30" s="84" t="s">
        <v>345</v>
      </c>
      <c r="F30" s="84" t="s">
        <v>346</v>
      </c>
      <c r="G30" s="476"/>
      <c r="H30" s="476"/>
      <c r="I30" s="476"/>
      <c r="J30" s="476"/>
      <c r="K30" s="476"/>
      <c r="L30" s="476"/>
    </row>
    <row r="31" spans="1:15">
      <c r="A31" s="230"/>
      <c r="B31" s="247"/>
      <c r="C31" s="230"/>
      <c r="D31" s="230"/>
      <c r="E31" s="230"/>
      <c r="F31" s="247" t="s">
        <v>1187</v>
      </c>
      <c r="G31" s="476"/>
      <c r="H31" s="476"/>
      <c r="K31" s="476"/>
      <c r="L31" s="476"/>
    </row>
    <row r="32" spans="1:15" ht="13">
      <c r="A32" s="230"/>
      <c r="B32" s="109"/>
      <c r="C32" s="84"/>
      <c r="D32" s="84"/>
      <c r="E32" s="230"/>
      <c r="F32" s="230"/>
      <c r="G32" s="476"/>
      <c r="H32" s="476"/>
      <c r="K32" s="476"/>
      <c r="L32" s="476"/>
    </row>
    <row r="33" spans="1:12" ht="12.75" customHeight="1">
      <c r="A33" s="51" t="s">
        <v>330</v>
      </c>
      <c r="B33" s="123" t="s">
        <v>1760</v>
      </c>
      <c r="C33" s="367">
        <v>360</v>
      </c>
      <c r="D33" s="367">
        <v>361</v>
      </c>
      <c r="E33" s="367">
        <v>362</v>
      </c>
      <c r="F33" s="3" t="s">
        <v>196</v>
      </c>
      <c r="G33" s="476"/>
      <c r="H33" s="476"/>
      <c r="K33" s="476"/>
      <c r="L33" s="476"/>
    </row>
    <row r="34" spans="1:12" ht="12.75" customHeight="1">
      <c r="A34" s="572">
        <f>A24+1</f>
        <v>15</v>
      </c>
      <c r="B34" s="731" t="s">
        <v>2494</v>
      </c>
      <c r="C34" s="1056">
        <v>0</v>
      </c>
      <c r="D34" s="1056">
        <v>0</v>
      </c>
      <c r="E34" s="1056">
        <v>0</v>
      </c>
      <c r="F34" s="232">
        <f>SUM(C34:E34)</f>
        <v>0</v>
      </c>
      <c r="G34" s="476"/>
      <c r="H34" s="476"/>
      <c r="K34" s="476"/>
      <c r="L34" s="476"/>
    </row>
    <row r="35" spans="1:12" ht="12.75" customHeight="1">
      <c r="A35" s="572">
        <f>A34+1</f>
        <v>16</v>
      </c>
      <c r="B35" s="731" t="s">
        <v>2606</v>
      </c>
      <c r="C35" s="396">
        <v>0</v>
      </c>
      <c r="D35" s="396">
        <v>0</v>
      </c>
      <c r="E35" s="396">
        <v>0</v>
      </c>
      <c r="F35" s="366">
        <f>SUM(C35:E35)</f>
        <v>0</v>
      </c>
      <c r="G35" s="476"/>
      <c r="H35" s="476"/>
      <c r="K35" s="476"/>
      <c r="L35" s="476"/>
    </row>
    <row r="36" spans="1:12" ht="12.75" customHeight="1">
      <c r="A36" s="572">
        <f>A35+1</f>
        <v>17</v>
      </c>
      <c r="B36" s="1168" t="s">
        <v>1188</v>
      </c>
      <c r="C36" s="232">
        <f>AVERAGE(C34:C35)</f>
        <v>0</v>
      </c>
      <c r="D36" s="232">
        <f>AVERAGE(D34:D35)</f>
        <v>0</v>
      </c>
      <c r="E36" s="232">
        <f>AVERAGE(E34:E35)</f>
        <v>0</v>
      </c>
      <c r="F36" s="232">
        <f>AVERAGE(F34:F35)</f>
        <v>0</v>
      </c>
      <c r="G36" s="476"/>
      <c r="H36" s="476"/>
      <c r="K36" s="476"/>
      <c r="L36" s="476"/>
    </row>
    <row r="37" spans="1:12" ht="12.75" customHeight="1">
      <c r="A37" s="476"/>
      <c r="B37" s="476"/>
      <c r="C37" s="476"/>
      <c r="D37" s="476"/>
      <c r="E37" s="476"/>
      <c r="F37" s="476"/>
      <c r="G37" s="476"/>
      <c r="H37" s="476"/>
      <c r="K37" s="476"/>
      <c r="L37" s="476"/>
    </row>
    <row r="38" spans="1:12" ht="13">
      <c r="A38" s="476"/>
      <c r="B38" s="1" t="s">
        <v>1050</v>
      </c>
      <c r="C38" s="639"/>
      <c r="D38" s="639"/>
      <c r="E38" s="1169"/>
      <c r="F38" s="1170"/>
      <c r="G38" s="1171"/>
      <c r="H38" s="476"/>
      <c r="K38" s="476"/>
      <c r="L38" s="476"/>
    </row>
    <row r="39" spans="1:12" ht="13">
      <c r="A39" s="476"/>
      <c r="B39" s="476" t="s">
        <v>1051</v>
      </c>
      <c r="C39" s="639"/>
      <c r="D39" s="639"/>
      <c r="E39" s="1169"/>
      <c r="F39" s="1170"/>
      <c r="G39" s="1171"/>
      <c r="H39" s="476"/>
      <c r="K39" s="476"/>
      <c r="L39" s="476"/>
    </row>
    <row r="40" spans="1:12" ht="13">
      <c r="A40" s="476"/>
      <c r="B40" s="476"/>
      <c r="C40" s="639"/>
      <c r="D40" s="639"/>
      <c r="E40" s="1169"/>
      <c r="F40" s="1170"/>
      <c r="G40" s="1171"/>
      <c r="H40" s="476"/>
      <c r="K40" s="476"/>
      <c r="L40" s="476"/>
    </row>
    <row r="41" spans="1:12" ht="13">
      <c r="A41" s="476"/>
      <c r="B41" s="476"/>
      <c r="C41" s="639"/>
      <c r="D41" s="1172" t="s">
        <v>175</v>
      </c>
      <c r="E41" s="1173" t="s">
        <v>179</v>
      </c>
      <c r="F41" s="1170"/>
      <c r="G41" s="1171"/>
      <c r="H41" s="476"/>
      <c r="K41" s="476"/>
      <c r="L41" s="476"/>
    </row>
    <row r="42" spans="1:12" ht="13">
      <c r="A42" s="572">
        <f>A36+1</f>
        <v>18</v>
      </c>
      <c r="B42" s="476"/>
      <c r="C42" s="1169" t="s">
        <v>323</v>
      </c>
      <c r="D42" s="1170">
        <f>M24+F36</f>
        <v>8939630709.3337479</v>
      </c>
      <c r="E42" s="1174" t="str">
        <f>"Sum of Line "&amp;A24&amp;", "&amp;M7&amp;" and Line "&amp;A36&amp;", "&amp;F30&amp;""</f>
        <v>Sum of Line 14, Col 12 and Line 17, Col 5</v>
      </c>
      <c r="F42" s="476"/>
      <c r="G42" s="476"/>
      <c r="H42" s="476"/>
      <c r="K42" s="476"/>
      <c r="L42" s="476"/>
    </row>
    <row r="43" spans="1:12" ht="13">
      <c r="A43" s="572">
        <f>A42+1</f>
        <v>19</v>
      </c>
      <c r="B43" s="476"/>
      <c r="C43" s="1169" t="s">
        <v>156</v>
      </c>
      <c r="D43" s="1170">
        <f>M23+F35</f>
        <v>9285531120.7645969</v>
      </c>
      <c r="E43" s="1174" t="str">
        <f>"Sum of Line "&amp;A23&amp;", "&amp;M7&amp;" and Line "&amp;A35&amp;", "&amp;F30&amp;""</f>
        <v>Sum of Line 13, Col 12 and Line 16, Col 5</v>
      </c>
      <c r="F43" s="476"/>
      <c r="G43" s="476"/>
      <c r="H43" s="476"/>
      <c r="I43" s="476"/>
      <c r="J43" s="476"/>
      <c r="K43" s="476"/>
      <c r="L43" s="476"/>
    </row>
    <row r="44" spans="1:12" ht="13">
      <c r="A44" s="476"/>
      <c r="B44" s="476"/>
      <c r="C44" s="639"/>
      <c r="D44" s="639"/>
      <c r="E44" s="1175"/>
      <c r="F44" s="1176"/>
      <c r="G44" s="1177"/>
      <c r="H44" s="476"/>
      <c r="I44" s="476"/>
      <c r="J44" s="476"/>
      <c r="K44" s="476"/>
      <c r="L44" s="476"/>
    </row>
    <row r="45" spans="1:12" ht="13">
      <c r="A45" s="476"/>
      <c r="B45" s="1" t="s">
        <v>1726</v>
      </c>
      <c r="C45" s="476"/>
      <c r="D45" s="476"/>
      <c r="E45" s="1175"/>
      <c r="F45" s="1176"/>
      <c r="G45" s="1177"/>
      <c r="H45" s="476"/>
      <c r="I45" s="476"/>
      <c r="J45" s="476"/>
      <c r="K45" s="476"/>
      <c r="L45" s="476"/>
    </row>
    <row r="46" spans="1:12">
      <c r="A46" s="476"/>
      <c r="B46" s="480" t="s">
        <v>304</v>
      </c>
      <c r="C46" s="476"/>
      <c r="D46" s="476"/>
      <c r="E46" s="1175"/>
      <c r="F46" s="1176"/>
      <c r="G46" s="1177"/>
      <c r="H46" s="476"/>
      <c r="I46" s="476"/>
      <c r="J46" s="476"/>
      <c r="K46" s="476"/>
      <c r="L46" s="476"/>
    </row>
    <row r="47" spans="1:12" ht="12.75" customHeight="1">
      <c r="A47" s="476"/>
      <c r="B47" s="480"/>
      <c r="C47" s="476"/>
      <c r="D47" s="476"/>
      <c r="E47" s="1175"/>
      <c r="F47" s="1176"/>
      <c r="G47" s="1177"/>
      <c r="H47" s="476"/>
      <c r="I47" s="476"/>
      <c r="J47" s="476"/>
      <c r="K47" s="476"/>
      <c r="L47" s="476"/>
    </row>
    <row r="48" spans="1:12" ht="13">
      <c r="A48" s="476"/>
      <c r="B48" s="1"/>
      <c r="C48" s="247" t="s">
        <v>360</v>
      </c>
      <c r="D48" s="476"/>
      <c r="E48" s="1175"/>
      <c r="F48" s="84" t="s">
        <v>359</v>
      </c>
      <c r="G48" s="84" t="s">
        <v>343</v>
      </c>
      <c r="H48" s="84" t="s">
        <v>344</v>
      </c>
      <c r="I48" s="476"/>
      <c r="J48" s="476"/>
      <c r="K48" s="476"/>
      <c r="L48" s="476"/>
    </row>
    <row r="49" spans="1:12" ht="13">
      <c r="A49" s="476"/>
      <c r="B49" s="1"/>
      <c r="C49" s="572" t="s">
        <v>403</v>
      </c>
      <c r="D49" s="1175"/>
      <c r="F49" s="572" t="s">
        <v>1207</v>
      </c>
      <c r="G49" s="572" t="s">
        <v>1208</v>
      </c>
      <c r="H49" s="1155" t="s">
        <v>196</v>
      </c>
      <c r="I49" s="1177"/>
      <c r="J49" s="476"/>
      <c r="K49" s="476"/>
      <c r="L49" s="476"/>
    </row>
    <row r="50" spans="1:12" ht="13">
      <c r="A50" s="476"/>
      <c r="B50" s="476"/>
      <c r="C50" s="572" t="s">
        <v>193</v>
      </c>
      <c r="D50" s="647" t="s">
        <v>194</v>
      </c>
      <c r="F50" s="647" t="s">
        <v>372</v>
      </c>
      <c r="G50" s="647" t="s">
        <v>372</v>
      </c>
      <c r="H50" s="647" t="s">
        <v>1189</v>
      </c>
      <c r="I50" s="647"/>
      <c r="J50" s="476"/>
      <c r="K50" s="476"/>
      <c r="L50" s="476"/>
    </row>
    <row r="51" spans="1:12" ht="13">
      <c r="A51" s="476"/>
      <c r="B51" s="476"/>
      <c r="C51" s="3" t="s">
        <v>192</v>
      </c>
      <c r="D51" s="630" t="s">
        <v>179</v>
      </c>
      <c r="F51" s="643" t="s">
        <v>2</v>
      </c>
      <c r="G51" s="643" t="s">
        <v>2</v>
      </c>
      <c r="H51" s="643" t="s">
        <v>2</v>
      </c>
      <c r="I51" s="1178" t="s">
        <v>168</v>
      </c>
      <c r="J51" s="476"/>
      <c r="K51" s="476"/>
      <c r="L51" s="476"/>
    </row>
    <row r="52" spans="1:12" ht="13">
      <c r="A52" s="572">
        <f>A43+1</f>
        <v>20</v>
      </c>
      <c r="B52" s="476"/>
      <c r="C52" s="627" t="s">
        <v>180</v>
      </c>
      <c r="D52" s="1154" t="s">
        <v>1209</v>
      </c>
      <c r="F52" s="1072">
        <v>3095312496</v>
      </c>
      <c r="G52" s="509">
        <v>1211743818</v>
      </c>
      <c r="H52" s="1170">
        <f>SUM(F52:G52)</f>
        <v>4307056314</v>
      </c>
      <c r="I52" s="1154" t="s">
        <v>1727</v>
      </c>
      <c r="J52" s="478"/>
      <c r="K52" s="476"/>
      <c r="L52" s="476"/>
    </row>
    <row r="53" spans="1:12" ht="12.75" customHeight="1">
      <c r="A53" s="572">
        <f>A52+1</f>
        <v>21</v>
      </c>
      <c r="B53" s="476"/>
      <c r="C53" s="634" t="s">
        <v>180</v>
      </c>
      <c r="D53" s="1154" t="s">
        <v>1755</v>
      </c>
      <c r="E53" s="14"/>
      <c r="F53" s="1072">
        <v>3238857833</v>
      </c>
      <c r="G53" s="509">
        <v>1253827471</v>
      </c>
      <c r="H53" s="1170">
        <f>SUM(F53:G53)</f>
        <v>4492685304</v>
      </c>
      <c r="I53" s="475" t="s">
        <v>1728</v>
      </c>
      <c r="J53" s="478"/>
      <c r="K53" s="476"/>
      <c r="L53" s="476"/>
    </row>
    <row r="54" spans="1:12" ht="12.75" customHeight="1">
      <c r="A54" s="476"/>
      <c r="B54" s="476"/>
      <c r="C54" s="634"/>
      <c r="D54" s="1179"/>
      <c r="E54" s="1180"/>
      <c r="F54" s="1170"/>
      <c r="G54" s="480"/>
      <c r="H54" s="476"/>
      <c r="I54" s="476"/>
      <c r="J54" s="476"/>
      <c r="K54" s="476"/>
      <c r="L54" s="476"/>
    </row>
    <row r="55" spans="1:12" ht="12.75" customHeight="1">
      <c r="A55" s="476"/>
      <c r="B55" s="476"/>
      <c r="C55" s="639" t="s">
        <v>1211</v>
      </c>
      <c r="D55" s="639"/>
      <c r="E55" s="1175"/>
      <c r="F55" s="1173" t="s">
        <v>175</v>
      </c>
      <c r="G55" s="1181" t="s">
        <v>179</v>
      </c>
      <c r="H55" s="476"/>
      <c r="I55" s="476"/>
      <c r="J55" s="476"/>
      <c r="K55" s="476"/>
      <c r="L55" s="476"/>
    </row>
    <row r="56" spans="1:12" ht="13">
      <c r="A56" s="572">
        <f>A53+1</f>
        <v>22</v>
      </c>
      <c r="B56" s="476"/>
      <c r="C56" s="639"/>
      <c r="D56" s="639"/>
      <c r="E56" s="1169" t="s">
        <v>84</v>
      </c>
      <c r="F56" s="1170">
        <f>(H52+H53)/2</f>
        <v>4399870809</v>
      </c>
      <c r="G56" s="515" t="str">
        <f>"Average of Line "&amp;A52&amp;" and "&amp;A53&amp;"."</f>
        <v>Average of Line 20 and 21.</v>
      </c>
      <c r="H56" s="476"/>
      <c r="I56" s="476"/>
      <c r="J56" s="476"/>
      <c r="K56" s="476"/>
      <c r="L56" s="476"/>
    </row>
    <row r="57" spans="1:12" ht="13">
      <c r="A57" s="572">
        <f>A56+1</f>
        <v>23</v>
      </c>
      <c r="B57" s="476"/>
      <c r="C57" s="639"/>
      <c r="D57" s="639"/>
      <c r="E57" s="608" t="s">
        <v>239</v>
      </c>
      <c r="F57" s="1182">
        <f>'27-Allocators'!G10</f>
        <v>6.5693761162178274E-2</v>
      </c>
      <c r="G57" s="515" t="str">
        <f>"27-Allocators, Line "&amp;'27-Allocators'!A10&amp;""</f>
        <v>27-Allocators, Line 5</v>
      </c>
      <c r="H57" s="476"/>
      <c r="I57" s="476"/>
      <c r="J57" s="476"/>
      <c r="K57" s="476"/>
      <c r="L57" s="476"/>
    </row>
    <row r="58" spans="1:12" ht="13">
      <c r="A58" s="572">
        <f>A57+1</f>
        <v>24</v>
      </c>
      <c r="B58" s="476"/>
      <c r="C58" s="639"/>
      <c r="D58" s="639"/>
      <c r="E58" s="608" t="s">
        <v>305</v>
      </c>
      <c r="F58" s="1170">
        <f>F56*F57</f>
        <v>289044062.07088608</v>
      </c>
      <c r="G58" s="515" t="str">
        <f>"Line "&amp;A56&amp;" * Line "&amp;A57&amp;"."</f>
        <v>Line 22 * Line 23.</v>
      </c>
      <c r="H58" s="476"/>
      <c r="I58" s="476"/>
      <c r="J58" s="476"/>
      <c r="K58" s="476"/>
      <c r="L58" s="476"/>
    </row>
    <row r="59" spans="1:12" ht="13">
      <c r="A59" s="476"/>
      <c r="B59" s="476"/>
      <c r="C59" s="639"/>
      <c r="D59" s="639"/>
      <c r="E59" s="608"/>
      <c r="F59" s="1170"/>
      <c r="G59" s="1171"/>
      <c r="H59" s="476"/>
      <c r="I59" s="476"/>
      <c r="J59" s="476"/>
      <c r="K59" s="476"/>
      <c r="L59" s="476"/>
    </row>
    <row r="60" spans="1:12" ht="13">
      <c r="A60" s="476"/>
      <c r="B60" s="476"/>
      <c r="C60" s="639" t="s">
        <v>1210</v>
      </c>
      <c r="D60" s="639"/>
      <c r="E60" s="1175"/>
      <c r="F60" s="1173" t="s">
        <v>175</v>
      </c>
      <c r="G60" s="1181" t="s">
        <v>179</v>
      </c>
      <c r="H60" s="476"/>
      <c r="I60" s="476"/>
      <c r="J60" s="476"/>
      <c r="K60" s="476"/>
      <c r="L60" s="476"/>
    </row>
    <row r="61" spans="1:12" ht="13">
      <c r="A61" s="572">
        <f>A58+1</f>
        <v>25</v>
      </c>
      <c r="B61" s="476"/>
      <c r="C61" s="639"/>
      <c r="D61" s="639"/>
      <c r="E61" s="1169" t="s">
        <v>156</v>
      </c>
      <c r="F61" s="1170">
        <f>H53</f>
        <v>4492685304</v>
      </c>
      <c r="G61" s="515" t="str">
        <f>"Line "&amp;A53&amp;"."</f>
        <v>Line 21.</v>
      </c>
      <c r="H61" s="476"/>
      <c r="I61" s="476"/>
      <c r="J61" s="476"/>
      <c r="K61" s="476"/>
      <c r="L61" s="476"/>
    </row>
    <row r="62" spans="1:12" ht="13">
      <c r="A62" s="572">
        <f>A61+1</f>
        <v>26</v>
      </c>
      <c r="B62" s="476"/>
      <c r="C62" s="639"/>
      <c r="D62" s="639"/>
      <c r="E62" s="608" t="s">
        <v>239</v>
      </c>
      <c r="F62" s="1182">
        <f>'27-Allocators'!G10</f>
        <v>6.5693761162178274E-2</v>
      </c>
      <c r="G62" s="515" t="str">
        <f>"27-Allocators, Line "&amp;'27-Allocators'!A10&amp;""</f>
        <v>27-Allocators, Line 5</v>
      </c>
      <c r="H62" s="476"/>
      <c r="I62" s="476"/>
      <c r="J62" s="476"/>
      <c r="K62" s="476"/>
      <c r="L62" s="476"/>
    </row>
    <row r="63" spans="1:12" ht="13">
      <c r="A63" s="572">
        <f>A62+1</f>
        <v>27</v>
      </c>
      <c r="B63" s="476"/>
      <c r="C63" s="639"/>
      <c r="D63" s="639"/>
      <c r="E63" s="608" t="s">
        <v>305</v>
      </c>
      <c r="F63" s="1170">
        <f>F61*F62</f>
        <v>295141395.33780432</v>
      </c>
      <c r="G63" s="515" t="str">
        <f>"Line "&amp;A61&amp;" * Line "&amp;A62&amp;"."</f>
        <v>Line 25 * Line 26.</v>
      </c>
      <c r="H63" s="476"/>
      <c r="I63" s="476"/>
      <c r="J63" s="476"/>
      <c r="K63" s="476"/>
      <c r="L63" s="476"/>
    </row>
    <row r="64" spans="1:12">
      <c r="A64" s="476"/>
      <c r="B64" s="476"/>
      <c r="C64" s="476"/>
      <c r="D64" s="476"/>
      <c r="E64" s="476"/>
      <c r="F64" s="476"/>
      <c r="G64" s="476"/>
      <c r="H64" s="476"/>
      <c r="I64" s="476"/>
      <c r="J64" s="476"/>
      <c r="K64" s="476"/>
      <c r="L64" s="476"/>
    </row>
    <row r="65" spans="1:13">
      <c r="A65" s="476"/>
      <c r="B65" s="476"/>
      <c r="C65" s="476"/>
      <c r="D65" s="476"/>
      <c r="E65" s="476"/>
      <c r="F65" s="476"/>
      <c r="G65" s="476"/>
      <c r="H65" s="476"/>
      <c r="I65" s="476"/>
      <c r="J65" s="476"/>
      <c r="K65" s="476"/>
      <c r="L65" s="476"/>
    </row>
    <row r="66" spans="1:13" ht="13">
      <c r="A66" s="476"/>
      <c r="B66" s="1" t="s">
        <v>1532</v>
      </c>
      <c r="C66" s="476"/>
      <c r="D66" s="476"/>
      <c r="E66" s="476"/>
      <c r="F66" s="476"/>
      <c r="G66" s="476"/>
      <c r="H66" s="476"/>
      <c r="I66" s="476"/>
      <c r="J66" s="476"/>
      <c r="K66" s="476"/>
      <c r="L66" s="476"/>
    </row>
    <row r="67" spans="1:13">
      <c r="A67" s="476"/>
      <c r="C67" s="476"/>
      <c r="D67" s="476"/>
      <c r="E67" s="476"/>
      <c r="F67" s="476"/>
      <c r="G67" s="476"/>
      <c r="H67" s="476"/>
      <c r="I67" s="476"/>
      <c r="J67" s="476"/>
      <c r="K67" s="476"/>
      <c r="L67" s="476"/>
    </row>
    <row r="68" spans="1:13" ht="13">
      <c r="B68" s="1" t="s">
        <v>2358</v>
      </c>
      <c r="C68" s="476"/>
      <c r="D68" s="476"/>
      <c r="E68" s="476"/>
      <c r="F68" s="476"/>
      <c r="G68" s="476"/>
      <c r="H68" s="476"/>
      <c r="I68" s="476"/>
      <c r="J68" s="476"/>
      <c r="K68" s="476"/>
      <c r="L68" s="476"/>
    </row>
    <row r="69" spans="1:13">
      <c r="A69" s="476"/>
      <c r="C69" s="476"/>
      <c r="D69" s="476"/>
      <c r="E69" s="476"/>
      <c r="F69" s="476"/>
      <c r="G69" s="476"/>
      <c r="H69" s="476"/>
      <c r="I69" s="476"/>
      <c r="J69" s="476"/>
      <c r="K69" s="476"/>
      <c r="L69" s="476"/>
    </row>
    <row r="70" spans="1:13" ht="13">
      <c r="A70" s="394"/>
      <c r="B70" s="84" t="s">
        <v>359</v>
      </c>
      <c r="C70" s="84" t="s">
        <v>343</v>
      </c>
      <c r="D70" s="84" t="s">
        <v>344</v>
      </c>
      <c r="E70" s="84" t="s">
        <v>345</v>
      </c>
      <c r="F70" s="84" t="s">
        <v>346</v>
      </c>
      <c r="G70" s="84" t="s">
        <v>347</v>
      </c>
      <c r="H70" s="84" t="s">
        <v>348</v>
      </c>
      <c r="I70" s="84" t="s">
        <v>537</v>
      </c>
      <c r="J70" s="84" t="s">
        <v>954</v>
      </c>
      <c r="K70" s="84" t="s">
        <v>967</v>
      </c>
      <c r="L70" s="84" t="s">
        <v>970</v>
      </c>
      <c r="M70" s="84" t="s">
        <v>988</v>
      </c>
    </row>
    <row r="71" spans="1:13">
      <c r="A71" s="230"/>
      <c r="B71" s="247"/>
      <c r="C71" s="230"/>
      <c r="D71" s="230"/>
      <c r="E71" s="230"/>
      <c r="F71" s="230"/>
      <c r="G71" s="230"/>
      <c r="H71" s="230"/>
      <c r="I71" s="230"/>
      <c r="J71" s="230"/>
      <c r="K71" s="230"/>
      <c r="M71" s="247" t="s">
        <v>1220</v>
      </c>
    </row>
    <row r="72" spans="1:13" ht="13">
      <c r="A72" s="51"/>
      <c r="B72" s="123" t="s">
        <v>1760</v>
      </c>
      <c r="C72" s="84">
        <v>350.1</v>
      </c>
      <c r="D72" s="84">
        <v>350.2</v>
      </c>
      <c r="E72" s="84">
        <v>352</v>
      </c>
      <c r="F72" s="84">
        <v>353</v>
      </c>
      <c r="G72" s="84">
        <v>354</v>
      </c>
      <c r="H72" s="84">
        <v>355</v>
      </c>
      <c r="I72" s="84">
        <v>356</v>
      </c>
      <c r="J72" s="84">
        <v>357</v>
      </c>
      <c r="K72" s="84">
        <v>358</v>
      </c>
      <c r="L72" s="84">
        <v>359</v>
      </c>
      <c r="M72" s="3" t="s">
        <v>196</v>
      </c>
    </row>
    <row r="73" spans="1:13" ht="13">
      <c r="A73" s="572">
        <f>A63+1</f>
        <v>28</v>
      </c>
      <c r="B73" s="1014" t="s">
        <v>2494</v>
      </c>
      <c r="C73" s="509">
        <v>131612781.2</v>
      </c>
      <c r="D73" s="509">
        <v>211617314.10000002</v>
      </c>
      <c r="E73" s="1056">
        <v>983751072.62</v>
      </c>
      <c r="F73" s="1056">
        <v>6072137167.2699995</v>
      </c>
      <c r="G73" s="1056">
        <v>2355779001.3800001</v>
      </c>
      <c r="H73" s="1056">
        <v>1500195880.45</v>
      </c>
      <c r="I73" s="1056">
        <v>1653093431.4200001</v>
      </c>
      <c r="J73" s="1056">
        <v>271487039.30000001</v>
      </c>
      <c r="K73" s="1056">
        <v>399339545.30000001</v>
      </c>
      <c r="L73" s="1056">
        <v>195497057.65000001</v>
      </c>
      <c r="M73" s="232">
        <f t="shared" ref="M73:M84" si="13">SUM(C73:L73)</f>
        <v>13774510290.689999</v>
      </c>
    </row>
    <row r="74" spans="1:13" ht="13">
      <c r="A74" s="572">
        <f t="shared" ref="A74:A85" si="14">A73+1</f>
        <v>29</v>
      </c>
      <c r="B74" s="732" t="s">
        <v>2607</v>
      </c>
      <c r="C74" s="509">
        <v>131616183.09999999</v>
      </c>
      <c r="D74" s="509">
        <v>211595699.40000004</v>
      </c>
      <c r="E74" s="1056">
        <v>988526657.12</v>
      </c>
      <c r="F74" s="1056">
        <v>6079034554.2799997</v>
      </c>
      <c r="G74" s="1056">
        <v>2344292684.3800001</v>
      </c>
      <c r="H74" s="1056">
        <v>1516789871.45</v>
      </c>
      <c r="I74" s="1056">
        <v>1662028354.4200001</v>
      </c>
      <c r="J74" s="1056">
        <v>271492228.60000002</v>
      </c>
      <c r="K74" s="1056">
        <v>399279034.30000001</v>
      </c>
      <c r="L74" s="1056">
        <v>195510605.65000001</v>
      </c>
      <c r="M74" s="232">
        <f t="shared" si="13"/>
        <v>13800165872.699999</v>
      </c>
    </row>
    <row r="75" spans="1:13" ht="13">
      <c r="A75" s="572">
        <f t="shared" si="14"/>
        <v>30</v>
      </c>
      <c r="B75" s="731" t="s">
        <v>2596</v>
      </c>
      <c r="C75" s="509">
        <v>131638310.7</v>
      </c>
      <c r="D75" s="509">
        <v>211606168.40000004</v>
      </c>
      <c r="E75" s="1056">
        <v>996647573.01999998</v>
      </c>
      <c r="F75" s="1056">
        <v>6079249712.5500002</v>
      </c>
      <c r="G75" s="1056">
        <v>2344714631.3800001</v>
      </c>
      <c r="H75" s="1056">
        <v>1537009559.45</v>
      </c>
      <c r="I75" s="1056">
        <v>1662485958.4200001</v>
      </c>
      <c r="J75" s="1056">
        <v>271497434.10000002</v>
      </c>
      <c r="K75" s="1056">
        <v>399387473.30000001</v>
      </c>
      <c r="L75" s="1056">
        <v>195704998.15000001</v>
      </c>
      <c r="M75" s="232">
        <f t="shared" si="13"/>
        <v>13829941819.469999</v>
      </c>
    </row>
    <row r="76" spans="1:13" ht="13">
      <c r="A76" s="572">
        <f t="shared" si="14"/>
        <v>31</v>
      </c>
      <c r="B76" s="731" t="s">
        <v>2597</v>
      </c>
      <c r="C76" s="509">
        <v>131682963.7</v>
      </c>
      <c r="D76" s="509">
        <v>211624570.40000001</v>
      </c>
      <c r="E76" s="1056">
        <v>1009871962.62</v>
      </c>
      <c r="F76" s="1056">
        <v>6102515153.0800009</v>
      </c>
      <c r="G76" s="1056">
        <v>2344883461.3800001</v>
      </c>
      <c r="H76" s="1056">
        <v>1558927282.45</v>
      </c>
      <c r="I76" s="1056">
        <v>1665250453.4200001</v>
      </c>
      <c r="J76" s="1056">
        <v>272559701.19999999</v>
      </c>
      <c r="K76" s="1056">
        <v>401424255.89999998</v>
      </c>
      <c r="L76" s="1056">
        <v>198336420.85000002</v>
      </c>
      <c r="M76" s="232">
        <f t="shared" si="13"/>
        <v>13897076225.000002</v>
      </c>
    </row>
    <row r="77" spans="1:13" ht="13">
      <c r="A77" s="572">
        <f t="shared" si="14"/>
        <v>32</v>
      </c>
      <c r="B77" s="732" t="s">
        <v>2598</v>
      </c>
      <c r="C77" s="509">
        <v>131752466</v>
      </c>
      <c r="D77" s="509">
        <v>211605282.80000001</v>
      </c>
      <c r="E77" s="1056">
        <v>1010323630.62</v>
      </c>
      <c r="F77" s="1056">
        <v>6127921997.7600002</v>
      </c>
      <c r="G77" s="1056">
        <v>2349025256.3800001</v>
      </c>
      <c r="H77" s="1056">
        <v>1570109062.45</v>
      </c>
      <c r="I77" s="1056">
        <v>1684119097.4200001</v>
      </c>
      <c r="J77" s="1056">
        <v>272593588.19999999</v>
      </c>
      <c r="K77" s="1056">
        <v>401459163.5</v>
      </c>
      <c r="L77" s="1056">
        <v>198438537.35000002</v>
      </c>
      <c r="M77" s="232">
        <f t="shared" si="13"/>
        <v>13957348082.480003</v>
      </c>
    </row>
    <row r="78" spans="1:13" ht="13">
      <c r="A78" s="572">
        <f t="shared" si="14"/>
        <v>33</v>
      </c>
      <c r="B78" s="731" t="s">
        <v>2599</v>
      </c>
      <c r="C78" s="509">
        <v>131756770.67</v>
      </c>
      <c r="D78" s="509">
        <v>211622567.38</v>
      </c>
      <c r="E78" s="1056">
        <v>1019393419.27</v>
      </c>
      <c r="F78" s="1056">
        <v>6178360443.0599995</v>
      </c>
      <c r="G78" s="1056">
        <v>2350067383.4500003</v>
      </c>
      <c r="H78" s="1056">
        <v>1581710728.6500001</v>
      </c>
      <c r="I78" s="1056">
        <v>1710040274.45</v>
      </c>
      <c r="J78" s="1056">
        <v>273048599.95999998</v>
      </c>
      <c r="K78" s="1056">
        <v>401913381.89999998</v>
      </c>
      <c r="L78" s="1056">
        <v>199705104.79000002</v>
      </c>
      <c r="M78" s="232">
        <f t="shared" si="13"/>
        <v>14057618673.58</v>
      </c>
    </row>
    <row r="79" spans="1:13" ht="13">
      <c r="A79" s="572">
        <f t="shared" si="14"/>
        <v>34</v>
      </c>
      <c r="B79" s="731" t="s">
        <v>2600</v>
      </c>
      <c r="C79" s="509">
        <v>131830600.97</v>
      </c>
      <c r="D79" s="509">
        <v>211691703.81</v>
      </c>
      <c r="E79" s="1056">
        <v>1020568395.95</v>
      </c>
      <c r="F79" s="1056">
        <v>6186991741</v>
      </c>
      <c r="G79" s="1056">
        <v>2354292432.7600002</v>
      </c>
      <c r="H79" s="1056">
        <v>1593131606.99</v>
      </c>
      <c r="I79" s="1056">
        <v>1719921075.3400002</v>
      </c>
      <c r="J79" s="1056">
        <v>271117743.19</v>
      </c>
      <c r="K79" s="1056">
        <v>399712188.76999998</v>
      </c>
      <c r="L79" s="1056">
        <v>199697499.72</v>
      </c>
      <c r="M79" s="232">
        <f t="shared" si="13"/>
        <v>14088954988.5</v>
      </c>
    </row>
    <row r="80" spans="1:13" ht="13">
      <c r="A80" s="572">
        <f t="shared" si="14"/>
        <v>35</v>
      </c>
      <c r="B80" s="732" t="s">
        <v>2601</v>
      </c>
      <c r="C80" s="509">
        <v>131826592.75</v>
      </c>
      <c r="D80" s="509">
        <v>211731152.69</v>
      </c>
      <c r="E80" s="1056">
        <v>1020929154.63</v>
      </c>
      <c r="F80" s="1056">
        <v>6196634799.6300001</v>
      </c>
      <c r="G80" s="1056">
        <v>2355787786.4200001</v>
      </c>
      <c r="H80" s="1056">
        <v>1605970460.4300001</v>
      </c>
      <c r="I80" s="1056">
        <v>1721531134.6300001</v>
      </c>
      <c r="J80" s="1056">
        <v>295920222.63</v>
      </c>
      <c r="K80" s="1056">
        <v>373794611.61000001</v>
      </c>
      <c r="L80" s="1056">
        <v>199731417.47</v>
      </c>
      <c r="M80" s="232">
        <f t="shared" si="13"/>
        <v>14113857332.889999</v>
      </c>
    </row>
    <row r="81" spans="1:13" ht="13">
      <c r="A81" s="572">
        <f t="shared" si="14"/>
        <v>36</v>
      </c>
      <c r="B81" s="731" t="s">
        <v>2602</v>
      </c>
      <c r="C81" s="509">
        <v>131826592.75</v>
      </c>
      <c r="D81" s="509">
        <v>211731258.67000002</v>
      </c>
      <c r="E81" s="1056">
        <v>1048916287.1</v>
      </c>
      <c r="F81" s="1056">
        <v>6246924011.0499992</v>
      </c>
      <c r="G81" s="1056">
        <v>2358016774.4900002</v>
      </c>
      <c r="H81" s="1056">
        <v>1613285126.0599999</v>
      </c>
      <c r="I81" s="1056">
        <v>1720191260.1000001</v>
      </c>
      <c r="J81" s="1056">
        <v>295927379.08999997</v>
      </c>
      <c r="K81" s="1056">
        <v>375073100.52999997</v>
      </c>
      <c r="L81" s="1056">
        <v>199734907.29000002</v>
      </c>
      <c r="M81" s="232">
        <f t="shared" si="13"/>
        <v>14201626697.130001</v>
      </c>
    </row>
    <row r="82" spans="1:13" ht="13">
      <c r="A82" s="572">
        <f t="shared" si="14"/>
        <v>37</v>
      </c>
      <c r="B82" s="731" t="s">
        <v>2603</v>
      </c>
      <c r="C82" s="509">
        <v>131843180.7</v>
      </c>
      <c r="D82" s="509">
        <v>211786151.28999999</v>
      </c>
      <c r="E82" s="1056">
        <v>1052576596.41</v>
      </c>
      <c r="F82" s="1056">
        <v>6258978897.6899996</v>
      </c>
      <c r="G82" s="1056">
        <v>2372570193.1900001</v>
      </c>
      <c r="H82" s="1056">
        <v>1622089384.1800001</v>
      </c>
      <c r="I82" s="1056">
        <v>1730638396.1400001</v>
      </c>
      <c r="J82" s="1056">
        <v>296012791.25</v>
      </c>
      <c r="K82" s="1056">
        <v>375826521.51999998</v>
      </c>
      <c r="L82" s="1056">
        <v>199741185.97</v>
      </c>
      <c r="M82" s="232">
        <f t="shared" si="13"/>
        <v>14252063298.34</v>
      </c>
    </row>
    <row r="83" spans="1:13" ht="13">
      <c r="A83" s="572">
        <f t="shared" si="14"/>
        <v>38</v>
      </c>
      <c r="B83" s="732" t="s">
        <v>2604</v>
      </c>
      <c r="C83" s="509">
        <v>131842746.01000001</v>
      </c>
      <c r="D83" s="509">
        <v>211788262.16</v>
      </c>
      <c r="E83" s="1056">
        <v>1053778006.38</v>
      </c>
      <c r="F83" s="1056">
        <v>6274634032.4499998</v>
      </c>
      <c r="G83" s="1056">
        <v>2374170288</v>
      </c>
      <c r="H83" s="1056">
        <v>1633985339</v>
      </c>
      <c r="I83" s="1056">
        <v>1759363210.22</v>
      </c>
      <c r="J83" s="1056">
        <v>296251233.07999998</v>
      </c>
      <c r="K83" s="1056">
        <v>376202281.88</v>
      </c>
      <c r="L83" s="1056">
        <v>200474304.06</v>
      </c>
      <c r="M83" s="232">
        <f t="shared" si="13"/>
        <v>14312489703.239998</v>
      </c>
    </row>
    <row r="84" spans="1:13" ht="13">
      <c r="A84" s="572">
        <f t="shared" si="14"/>
        <v>39</v>
      </c>
      <c r="B84" s="732" t="s">
        <v>2605</v>
      </c>
      <c r="C84" s="509">
        <v>133211135.81999999</v>
      </c>
      <c r="D84" s="509">
        <v>211781754.87</v>
      </c>
      <c r="E84" s="1056">
        <v>1053569859.34</v>
      </c>
      <c r="F84" s="1056">
        <v>6291273293.9399986</v>
      </c>
      <c r="G84" s="1056">
        <v>2375874676.0900002</v>
      </c>
      <c r="H84" s="1056">
        <v>1646618934.55</v>
      </c>
      <c r="I84" s="1056">
        <v>1762333637.75</v>
      </c>
      <c r="J84" s="1056">
        <v>296276113.43000001</v>
      </c>
      <c r="K84" s="1056">
        <v>376256816.38999999</v>
      </c>
      <c r="L84" s="1056">
        <v>201382464.32000002</v>
      </c>
      <c r="M84" s="366">
        <f t="shared" si="13"/>
        <v>14348578686.499996</v>
      </c>
    </row>
    <row r="85" spans="1:13" ht="13">
      <c r="A85" s="572">
        <f t="shared" si="14"/>
        <v>40</v>
      </c>
      <c r="B85" s="731" t="s">
        <v>2606</v>
      </c>
      <c r="C85" s="509">
        <v>133220266.06</v>
      </c>
      <c r="D85" s="509">
        <v>211856223.18000001</v>
      </c>
      <c r="E85" s="490">
        <f>'7-PlantStudy'!C10</f>
        <v>1143959578</v>
      </c>
      <c r="F85" s="490">
        <f>'7-PlantStudy'!C11</f>
        <v>6517444414</v>
      </c>
      <c r="G85" s="490">
        <f>'7-PlantStudy'!C20</f>
        <v>2380316641</v>
      </c>
      <c r="H85" s="490">
        <f>'7-PlantStudy'!C21</f>
        <v>1666864455</v>
      </c>
      <c r="I85" s="490">
        <f>'7-PlantStudy'!C22</f>
        <v>1763812033</v>
      </c>
      <c r="J85" s="490">
        <f>'7-PlantStudy'!C23</f>
        <v>296662316</v>
      </c>
      <c r="K85" s="490">
        <f>'7-PlantStudy'!C24</f>
        <v>376202208</v>
      </c>
      <c r="L85" s="490">
        <f>'7-PlantStudy'!C25</f>
        <v>201604232</v>
      </c>
      <c r="M85" s="232">
        <f>SUM(C85:L85)</f>
        <v>14691942366.24</v>
      </c>
    </row>
    <row r="87" spans="1:13" ht="13">
      <c r="B87" s="44" t="s">
        <v>2359</v>
      </c>
      <c r="C87" s="14"/>
      <c r="D87" s="14"/>
      <c r="E87" s="14"/>
    </row>
    <row r="88" spans="1:13">
      <c r="B88" s="14"/>
      <c r="C88" s="14"/>
      <c r="D88" s="14"/>
    </row>
    <row r="89" spans="1:13" ht="13">
      <c r="A89" s="394"/>
      <c r="B89" s="358" t="s">
        <v>359</v>
      </c>
      <c r="C89" s="358" t="s">
        <v>343</v>
      </c>
      <c r="D89" s="358" t="s">
        <v>344</v>
      </c>
      <c r="E89" s="84" t="s">
        <v>345</v>
      </c>
      <c r="F89" s="84" t="s">
        <v>346</v>
      </c>
      <c r="G89" s="84" t="s">
        <v>347</v>
      </c>
      <c r="H89" s="84" t="s">
        <v>348</v>
      </c>
      <c r="I89" s="84" t="s">
        <v>537</v>
      </c>
      <c r="J89" s="84" t="s">
        <v>954</v>
      </c>
      <c r="K89" s="84" t="s">
        <v>967</v>
      </c>
      <c r="L89" s="84" t="s">
        <v>970</v>
      </c>
      <c r="M89" s="84" t="s">
        <v>988</v>
      </c>
    </row>
    <row r="90" spans="1:13">
      <c r="A90" s="230"/>
      <c r="B90" s="454"/>
      <c r="C90" s="239"/>
      <c r="D90" s="239"/>
      <c r="E90" s="230"/>
      <c r="F90" s="230"/>
      <c r="G90" s="230"/>
      <c r="H90" s="230"/>
      <c r="I90" s="230"/>
      <c r="J90" s="230"/>
      <c r="K90" s="230"/>
      <c r="M90" s="247" t="s">
        <v>1220</v>
      </c>
    </row>
    <row r="91" spans="1:13" ht="13">
      <c r="A91" s="51"/>
      <c r="B91" s="123" t="s">
        <v>1760</v>
      </c>
      <c r="C91" s="358">
        <v>350.1</v>
      </c>
      <c r="D91" s="358">
        <v>350.2</v>
      </c>
      <c r="E91" s="84">
        <v>352</v>
      </c>
      <c r="F91" s="84">
        <v>353</v>
      </c>
      <c r="G91" s="84">
        <v>354</v>
      </c>
      <c r="H91" s="84">
        <v>355</v>
      </c>
      <c r="I91" s="84">
        <v>356</v>
      </c>
      <c r="J91" s="84">
        <v>357</v>
      </c>
      <c r="K91" s="84">
        <v>358</v>
      </c>
      <c r="L91" s="84">
        <v>359</v>
      </c>
      <c r="M91" s="3" t="s">
        <v>196</v>
      </c>
    </row>
    <row r="92" spans="1:13" ht="13">
      <c r="A92" s="572">
        <f>A85+1</f>
        <v>41</v>
      </c>
      <c r="B92" s="732" t="s">
        <v>2607</v>
      </c>
      <c r="C92" s="490">
        <f>C74-C73</f>
        <v>3401.8999999910593</v>
      </c>
      <c r="D92" s="490">
        <f>D74-D73</f>
        <v>-21614.699999988079</v>
      </c>
      <c r="E92" s="490">
        <f t="shared" ref="E92:L92" si="15">E74-E73</f>
        <v>4775584.5</v>
      </c>
      <c r="F92" s="490">
        <f t="shared" si="15"/>
        <v>6897387.0100002289</v>
      </c>
      <c r="G92" s="490">
        <f t="shared" si="15"/>
        <v>-11486317</v>
      </c>
      <c r="H92" s="490">
        <f t="shared" si="15"/>
        <v>16593991</v>
      </c>
      <c r="I92" s="490">
        <f t="shared" si="15"/>
        <v>8934923</v>
      </c>
      <c r="J92" s="490">
        <f t="shared" si="15"/>
        <v>5189.3000000119209</v>
      </c>
      <c r="K92" s="490">
        <f t="shared" si="15"/>
        <v>-60511</v>
      </c>
      <c r="L92" s="490">
        <f t="shared" si="15"/>
        <v>13548</v>
      </c>
      <c r="M92" s="232">
        <f t="shared" ref="M92:M103" si="16">SUM(C92:L92)</f>
        <v>25655582.010000244</v>
      </c>
    </row>
    <row r="93" spans="1:13" ht="13">
      <c r="A93" s="572">
        <f t="shared" ref="A93:A104" si="17">A92+1</f>
        <v>42</v>
      </c>
      <c r="B93" s="731" t="s">
        <v>2596</v>
      </c>
      <c r="C93" s="490">
        <f t="shared" ref="C93:L103" si="18">C75-C74</f>
        <v>22127.600000008941</v>
      </c>
      <c r="D93" s="490">
        <f t="shared" si="18"/>
        <v>10469</v>
      </c>
      <c r="E93" s="490">
        <f t="shared" si="18"/>
        <v>8120915.8999999762</v>
      </c>
      <c r="F93" s="490">
        <f t="shared" si="18"/>
        <v>215158.27000045776</v>
      </c>
      <c r="G93" s="490">
        <f t="shared" si="18"/>
        <v>421947</v>
      </c>
      <c r="H93" s="490">
        <f t="shared" si="18"/>
        <v>20219688</v>
      </c>
      <c r="I93" s="490">
        <f t="shared" si="18"/>
        <v>457604</v>
      </c>
      <c r="J93" s="490">
        <f t="shared" si="18"/>
        <v>5205.5</v>
      </c>
      <c r="K93" s="490">
        <f t="shared" si="18"/>
        <v>108439</v>
      </c>
      <c r="L93" s="490">
        <f t="shared" si="18"/>
        <v>194392.5</v>
      </c>
      <c r="M93" s="232">
        <f t="shared" si="16"/>
        <v>29775946.770000443</v>
      </c>
    </row>
    <row r="94" spans="1:13" ht="13">
      <c r="A94" s="572">
        <f t="shared" si="17"/>
        <v>43</v>
      </c>
      <c r="B94" s="731" t="s">
        <v>2597</v>
      </c>
      <c r="C94" s="490">
        <f t="shared" si="18"/>
        <v>44653</v>
      </c>
      <c r="D94" s="490">
        <f t="shared" si="18"/>
        <v>18401.999999970198</v>
      </c>
      <c r="E94" s="490">
        <f t="shared" si="18"/>
        <v>13224389.600000024</v>
      </c>
      <c r="F94" s="490">
        <f t="shared" si="18"/>
        <v>23265440.530000687</v>
      </c>
      <c r="G94" s="490">
        <f t="shared" si="18"/>
        <v>168830</v>
      </c>
      <c r="H94" s="490">
        <f t="shared" si="18"/>
        <v>21917723</v>
      </c>
      <c r="I94" s="490">
        <f t="shared" si="18"/>
        <v>2764495</v>
      </c>
      <c r="J94" s="490">
        <f t="shared" si="18"/>
        <v>1062267.0999999642</v>
      </c>
      <c r="K94" s="490">
        <f t="shared" si="18"/>
        <v>2036782.5999999642</v>
      </c>
      <c r="L94" s="490">
        <f t="shared" si="18"/>
        <v>2631422.7000000179</v>
      </c>
      <c r="M94" s="232">
        <f t="shared" si="16"/>
        <v>67134405.530000627</v>
      </c>
    </row>
    <row r="95" spans="1:13" ht="13">
      <c r="A95" s="572">
        <f t="shared" si="17"/>
        <v>44</v>
      </c>
      <c r="B95" s="732" t="s">
        <v>2598</v>
      </c>
      <c r="C95" s="490">
        <f t="shared" si="18"/>
        <v>69502.29999999702</v>
      </c>
      <c r="D95" s="490">
        <f t="shared" si="18"/>
        <v>-19287.59999999404</v>
      </c>
      <c r="E95" s="490">
        <f t="shared" si="18"/>
        <v>451668</v>
      </c>
      <c r="F95" s="490">
        <f t="shared" si="18"/>
        <v>25406844.679999352</v>
      </c>
      <c r="G95" s="490">
        <f t="shared" si="18"/>
        <v>4141795</v>
      </c>
      <c r="H95" s="490">
        <f t="shared" si="18"/>
        <v>11181780</v>
      </c>
      <c r="I95" s="490">
        <f t="shared" si="18"/>
        <v>18868644</v>
      </c>
      <c r="J95" s="490">
        <f t="shared" si="18"/>
        <v>33887</v>
      </c>
      <c r="K95" s="490">
        <f t="shared" si="18"/>
        <v>34907.600000023842</v>
      </c>
      <c r="L95" s="490">
        <f t="shared" si="18"/>
        <v>102116.5</v>
      </c>
      <c r="M95" s="232">
        <f t="shared" si="16"/>
        <v>60271857.479999378</v>
      </c>
    </row>
    <row r="96" spans="1:13" ht="13">
      <c r="A96" s="572">
        <f t="shared" si="17"/>
        <v>45</v>
      </c>
      <c r="B96" s="731" t="s">
        <v>2599</v>
      </c>
      <c r="C96" s="490">
        <f t="shared" si="18"/>
        <v>4304.6700000017881</v>
      </c>
      <c r="D96" s="490">
        <f t="shared" si="18"/>
        <v>17284.579999983311</v>
      </c>
      <c r="E96" s="490">
        <f t="shared" si="18"/>
        <v>9069788.6499999762</v>
      </c>
      <c r="F96" s="490">
        <f t="shared" si="18"/>
        <v>50438445.299999237</v>
      </c>
      <c r="G96" s="490">
        <f t="shared" si="18"/>
        <v>1042127.0700001717</v>
      </c>
      <c r="H96" s="490">
        <f t="shared" si="18"/>
        <v>11601666.200000048</v>
      </c>
      <c r="I96" s="490">
        <f t="shared" si="18"/>
        <v>25921177.029999971</v>
      </c>
      <c r="J96" s="490">
        <f t="shared" si="18"/>
        <v>455011.75999999046</v>
      </c>
      <c r="K96" s="490">
        <f t="shared" si="18"/>
        <v>454218.39999997616</v>
      </c>
      <c r="L96" s="490">
        <f t="shared" si="18"/>
        <v>1266567.4399999976</v>
      </c>
      <c r="M96" s="232">
        <f t="shared" si="16"/>
        <v>100270591.09999935</v>
      </c>
    </row>
    <row r="97" spans="1:13" ht="13">
      <c r="A97" s="572">
        <f t="shared" si="17"/>
        <v>46</v>
      </c>
      <c r="B97" s="731" t="s">
        <v>2600</v>
      </c>
      <c r="C97" s="490">
        <f t="shared" si="18"/>
        <v>73830.29999999702</v>
      </c>
      <c r="D97" s="490">
        <f t="shared" si="18"/>
        <v>69136.430000007153</v>
      </c>
      <c r="E97" s="490">
        <f t="shared" si="18"/>
        <v>1174976.6800000668</v>
      </c>
      <c r="F97" s="490">
        <f t="shared" si="18"/>
        <v>8631297.9400005341</v>
      </c>
      <c r="G97" s="490">
        <f t="shared" si="18"/>
        <v>4225049.3099999428</v>
      </c>
      <c r="H97" s="490">
        <f t="shared" si="18"/>
        <v>11420878.339999914</v>
      </c>
      <c r="I97" s="490">
        <f t="shared" si="18"/>
        <v>9880800.8900001049</v>
      </c>
      <c r="J97" s="490">
        <f t="shared" si="18"/>
        <v>-1930856.7699999809</v>
      </c>
      <c r="K97" s="490">
        <f t="shared" si="18"/>
        <v>-2201193.1299999952</v>
      </c>
      <c r="L97" s="490">
        <f t="shared" si="18"/>
        <v>-7605.0700000226498</v>
      </c>
      <c r="M97" s="232">
        <f t="shared" si="16"/>
        <v>31336314.920000568</v>
      </c>
    </row>
    <row r="98" spans="1:13" ht="13">
      <c r="A98" s="572">
        <f t="shared" si="17"/>
        <v>47</v>
      </c>
      <c r="B98" s="732" t="s">
        <v>2601</v>
      </c>
      <c r="C98" s="490">
        <f t="shared" si="18"/>
        <v>-4008.2199999988079</v>
      </c>
      <c r="D98" s="490">
        <f t="shared" si="18"/>
        <v>39448.879999995232</v>
      </c>
      <c r="E98" s="490">
        <f t="shared" si="18"/>
        <v>360758.67999994755</v>
      </c>
      <c r="F98" s="490">
        <f t="shared" si="18"/>
        <v>9643058.6300001144</v>
      </c>
      <c r="G98" s="490">
        <f t="shared" si="18"/>
        <v>1495353.6599998474</v>
      </c>
      <c r="H98" s="490">
        <f t="shared" si="18"/>
        <v>12838853.440000057</v>
      </c>
      <c r="I98" s="490">
        <f t="shared" si="18"/>
        <v>1610059.2899999619</v>
      </c>
      <c r="J98" s="490">
        <f t="shared" si="18"/>
        <v>24802479.439999998</v>
      </c>
      <c r="K98" s="490">
        <f t="shared" si="18"/>
        <v>-25917577.159999967</v>
      </c>
      <c r="L98" s="490">
        <f t="shared" si="18"/>
        <v>33917.75</v>
      </c>
      <c r="M98" s="232">
        <f t="shared" si="16"/>
        <v>24902344.389999956</v>
      </c>
    </row>
    <row r="99" spans="1:13" ht="13">
      <c r="A99" s="572">
        <f t="shared" si="17"/>
        <v>48</v>
      </c>
      <c r="B99" s="731" t="s">
        <v>2602</v>
      </c>
      <c r="C99" s="490">
        <f t="shared" si="18"/>
        <v>0</v>
      </c>
      <c r="D99" s="490">
        <f t="shared" si="18"/>
        <v>105.98000001907349</v>
      </c>
      <c r="E99" s="490">
        <f t="shared" si="18"/>
        <v>27987132.470000029</v>
      </c>
      <c r="F99" s="490">
        <f t="shared" si="18"/>
        <v>50289211.419999123</v>
      </c>
      <c r="G99" s="490">
        <f t="shared" si="18"/>
        <v>2228988.0700001717</v>
      </c>
      <c r="H99" s="490">
        <f t="shared" si="18"/>
        <v>7314665.629999876</v>
      </c>
      <c r="I99" s="490">
        <f t="shared" si="18"/>
        <v>-1339874.5299999714</v>
      </c>
      <c r="J99" s="490">
        <f t="shared" si="18"/>
        <v>7156.4599999785423</v>
      </c>
      <c r="K99" s="490">
        <f t="shared" si="18"/>
        <v>1278488.9199999571</v>
      </c>
      <c r="L99" s="490">
        <f t="shared" si="18"/>
        <v>3489.8200000226498</v>
      </c>
      <c r="M99" s="232">
        <f t="shared" si="16"/>
        <v>87769364.239999205</v>
      </c>
    </row>
    <row r="100" spans="1:13" ht="13">
      <c r="A100" s="572">
        <f t="shared" si="17"/>
        <v>49</v>
      </c>
      <c r="B100" s="731" t="s">
        <v>2603</v>
      </c>
      <c r="C100" s="490">
        <f t="shared" si="18"/>
        <v>16587.95000000298</v>
      </c>
      <c r="D100" s="490">
        <f t="shared" si="18"/>
        <v>54892.619999974966</v>
      </c>
      <c r="E100" s="490">
        <f t="shared" si="18"/>
        <v>3660309.3099999428</v>
      </c>
      <c r="F100" s="490">
        <f t="shared" si="18"/>
        <v>12054886.640000343</v>
      </c>
      <c r="G100" s="490">
        <f t="shared" si="18"/>
        <v>14553418.699999809</v>
      </c>
      <c r="H100" s="490">
        <f t="shared" si="18"/>
        <v>8804258.120000124</v>
      </c>
      <c r="I100" s="490">
        <f t="shared" si="18"/>
        <v>10447136.039999962</v>
      </c>
      <c r="J100" s="490">
        <f t="shared" si="18"/>
        <v>85412.160000026226</v>
      </c>
      <c r="K100" s="490">
        <f t="shared" si="18"/>
        <v>753420.99000000954</v>
      </c>
      <c r="L100" s="490">
        <f t="shared" si="18"/>
        <v>6278.6799999773502</v>
      </c>
      <c r="M100" s="232">
        <f t="shared" si="16"/>
        <v>50436601.210000172</v>
      </c>
    </row>
    <row r="101" spans="1:13" ht="13">
      <c r="A101" s="572">
        <f t="shared" si="17"/>
        <v>50</v>
      </c>
      <c r="B101" s="732" t="s">
        <v>2604</v>
      </c>
      <c r="C101" s="490">
        <f t="shared" si="18"/>
        <v>-434.68999999761581</v>
      </c>
      <c r="D101" s="490">
        <f t="shared" si="18"/>
        <v>2110.8700000047684</v>
      </c>
      <c r="E101" s="490">
        <f t="shared" si="18"/>
        <v>1201409.9700000286</v>
      </c>
      <c r="F101" s="490">
        <f t="shared" si="18"/>
        <v>15655134.760000229</v>
      </c>
      <c r="G101" s="490">
        <f t="shared" si="18"/>
        <v>1600094.8099999428</v>
      </c>
      <c r="H101" s="490">
        <f t="shared" si="18"/>
        <v>11895954.819999933</v>
      </c>
      <c r="I101" s="490">
        <f t="shared" si="18"/>
        <v>28724814.079999924</v>
      </c>
      <c r="J101" s="490">
        <f t="shared" si="18"/>
        <v>238441.82999998331</v>
      </c>
      <c r="K101" s="490">
        <f t="shared" si="18"/>
        <v>375760.36000001431</v>
      </c>
      <c r="L101" s="490">
        <f t="shared" si="18"/>
        <v>733118.09000000358</v>
      </c>
      <c r="M101" s="232">
        <f t="shared" si="16"/>
        <v>60426404.900000066</v>
      </c>
    </row>
    <row r="102" spans="1:13" ht="13">
      <c r="A102" s="572">
        <f t="shared" si="17"/>
        <v>51</v>
      </c>
      <c r="B102" s="732" t="s">
        <v>2605</v>
      </c>
      <c r="C102" s="490">
        <f t="shared" si="18"/>
        <v>1368389.8099999875</v>
      </c>
      <c r="D102" s="490">
        <f t="shared" si="18"/>
        <v>-6507.2899999916553</v>
      </c>
      <c r="E102" s="490">
        <f t="shared" si="18"/>
        <v>-208147.03999996185</v>
      </c>
      <c r="F102" s="490">
        <f t="shared" si="18"/>
        <v>16639261.489998817</v>
      </c>
      <c r="G102" s="490">
        <f t="shared" si="18"/>
        <v>1704388.0900001526</v>
      </c>
      <c r="H102" s="490">
        <f t="shared" si="18"/>
        <v>12633595.549999952</v>
      </c>
      <c r="I102" s="490">
        <f t="shared" si="18"/>
        <v>2970427.5299999714</v>
      </c>
      <c r="J102" s="490">
        <f t="shared" si="18"/>
        <v>24880.350000023842</v>
      </c>
      <c r="K102" s="490">
        <f t="shared" si="18"/>
        <v>54534.509999990463</v>
      </c>
      <c r="L102" s="490">
        <f t="shared" si="18"/>
        <v>908160.26000002027</v>
      </c>
      <c r="M102" s="232">
        <f t="shared" si="16"/>
        <v>36088983.259998962</v>
      </c>
    </row>
    <row r="103" spans="1:13" ht="13">
      <c r="A103" s="572">
        <f t="shared" si="17"/>
        <v>52</v>
      </c>
      <c r="B103" s="731" t="s">
        <v>2606</v>
      </c>
      <c r="C103" s="490">
        <f t="shared" si="18"/>
        <v>9130.2400000095367</v>
      </c>
      <c r="D103" s="490">
        <f t="shared" si="18"/>
        <v>74468.310000002384</v>
      </c>
      <c r="E103" s="490">
        <f t="shared" si="18"/>
        <v>90389718.659999967</v>
      </c>
      <c r="F103" s="490">
        <f t="shared" si="18"/>
        <v>226171120.06000137</v>
      </c>
      <c r="G103" s="490">
        <f t="shared" si="18"/>
        <v>4441964.9099998474</v>
      </c>
      <c r="H103" s="490">
        <f t="shared" si="18"/>
        <v>20245520.450000048</v>
      </c>
      <c r="I103" s="490">
        <f t="shared" si="18"/>
        <v>1478395.25</v>
      </c>
      <c r="J103" s="490">
        <f t="shared" si="18"/>
        <v>386202.56999999285</v>
      </c>
      <c r="K103" s="490">
        <f t="shared" si="18"/>
        <v>-54608.389999985695</v>
      </c>
      <c r="L103" s="490">
        <f t="shared" si="18"/>
        <v>221767.67999997735</v>
      </c>
      <c r="M103" s="366">
        <f t="shared" si="16"/>
        <v>343363679.7400012</v>
      </c>
    </row>
    <row r="104" spans="1:13" ht="13">
      <c r="A104" s="572">
        <f t="shared" si="17"/>
        <v>53</v>
      </c>
      <c r="B104" s="1168" t="s">
        <v>4</v>
      </c>
      <c r="C104" s="232">
        <f>SUM(C92:C103)</f>
        <v>1607484.8599999994</v>
      </c>
      <c r="D104" s="232">
        <f t="shared" ref="D104:L104" si="19">SUM(D92:D103)</f>
        <v>238909.07999998331</v>
      </c>
      <c r="E104" s="232">
        <f t="shared" si="19"/>
        <v>160208505.38</v>
      </c>
      <c r="F104" s="232">
        <f t="shared" si="19"/>
        <v>445307246.7300005</v>
      </c>
      <c r="G104" s="232">
        <f t="shared" si="19"/>
        <v>24537639.619999886</v>
      </c>
      <c r="H104" s="232">
        <f t="shared" si="19"/>
        <v>166668574.54999995</v>
      </c>
      <c r="I104" s="232">
        <f t="shared" si="19"/>
        <v>110718601.57999992</v>
      </c>
      <c r="J104" s="232">
        <f t="shared" si="19"/>
        <v>25175276.699999988</v>
      </c>
      <c r="K104" s="232">
        <f t="shared" si="19"/>
        <v>-23137337.300000012</v>
      </c>
      <c r="L104" s="232">
        <f t="shared" si="19"/>
        <v>6107174.349999994</v>
      </c>
      <c r="M104" s="232">
        <f>SUM(C104:L104)</f>
        <v>917432075.55000031</v>
      </c>
    </row>
    <row r="105" spans="1:13" ht="13">
      <c r="A105" s="572"/>
      <c r="B105" s="1168"/>
      <c r="C105" s="232"/>
      <c r="D105" s="232"/>
      <c r="E105" s="232"/>
      <c r="F105" s="232"/>
      <c r="G105" s="232"/>
      <c r="H105" s="232"/>
      <c r="I105" s="232"/>
      <c r="J105" s="232"/>
      <c r="K105" s="232"/>
      <c r="L105" s="232"/>
      <c r="M105" s="232"/>
    </row>
    <row r="106" spans="1:13" ht="13">
      <c r="B106" s="44" t="s">
        <v>2360</v>
      </c>
      <c r="C106" s="14"/>
      <c r="D106" s="14"/>
      <c r="E106" s="14"/>
    </row>
    <row r="107" spans="1:13">
      <c r="B107" s="14"/>
      <c r="C107" s="14"/>
      <c r="D107" s="14"/>
    </row>
    <row r="108" spans="1:13" ht="13">
      <c r="A108" s="394"/>
      <c r="B108" s="358" t="s">
        <v>359</v>
      </c>
      <c r="C108" s="358" t="s">
        <v>343</v>
      </c>
      <c r="D108" s="358" t="s">
        <v>344</v>
      </c>
      <c r="E108" s="84" t="s">
        <v>345</v>
      </c>
      <c r="F108" s="84" t="s">
        <v>346</v>
      </c>
      <c r="G108" s="84" t="s">
        <v>347</v>
      </c>
      <c r="H108" s="84" t="s">
        <v>348</v>
      </c>
      <c r="I108" s="84" t="s">
        <v>537</v>
      </c>
      <c r="J108" s="84" t="s">
        <v>954</v>
      </c>
      <c r="K108" s="84" t="s">
        <v>967</v>
      </c>
      <c r="L108" s="84" t="s">
        <v>970</v>
      </c>
      <c r="M108" s="84" t="s">
        <v>988</v>
      </c>
    </row>
    <row r="109" spans="1:13">
      <c r="A109" s="230"/>
      <c r="B109" s="454"/>
      <c r="C109" s="239"/>
      <c r="D109" s="239"/>
      <c r="E109" s="230"/>
      <c r="F109" s="230"/>
      <c r="G109" s="230"/>
      <c r="H109" s="230"/>
      <c r="I109" s="230"/>
      <c r="J109" s="230"/>
      <c r="K109" s="230"/>
      <c r="M109" s="247" t="s">
        <v>1220</v>
      </c>
    </row>
    <row r="110" spans="1:13" ht="13">
      <c r="A110" s="51"/>
      <c r="B110" s="123" t="s">
        <v>1760</v>
      </c>
      <c r="C110" s="358">
        <v>350.1</v>
      </c>
      <c r="D110" s="358">
        <v>350.2</v>
      </c>
      <c r="E110" s="84">
        <v>352</v>
      </c>
      <c r="F110" s="84">
        <v>353</v>
      </c>
      <c r="G110" s="84">
        <v>354</v>
      </c>
      <c r="H110" s="84">
        <v>355</v>
      </c>
      <c r="I110" s="84">
        <v>356</v>
      </c>
      <c r="J110" s="84">
        <v>357</v>
      </c>
      <c r="K110" s="84">
        <v>358</v>
      </c>
      <c r="L110" s="84">
        <v>359</v>
      </c>
      <c r="M110" s="3" t="s">
        <v>196</v>
      </c>
    </row>
    <row r="111" spans="1:13" ht="13">
      <c r="A111" s="572">
        <f>A104+1</f>
        <v>54</v>
      </c>
      <c r="B111" s="1014" t="s">
        <v>2494</v>
      </c>
      <c r="C111" s="1189">
        <v>20337104.427499995</v>
      </c>
      <c r="D111" s="1189">
        <v>95073836.459999993</v>
      </c>
      <c r="E111" s="1189">
        <v>288607910.17285639</v>
      </c>
      <c r="F111" s="1189">
        <v>1183323683.5827432</v>
      </c>
      <c r="G111" s="1189">
        <v>1763766194.6718264</v>
      </c>
      <c r="H111" s="1189">
        <v>154686218.08999997</v>
      </c>
      <c r="I111" s="1189">
        <v>818206860.35719705</v>
      </c>
      <c r="J111" s="1189">
        <v>190597927.60000005</v>
      </c>
      <c r="K111" s="1189">
        <v>81893158.089999974</v>
      </c>
      <c r="L111" s="1189">
        <v>146889792.7205919</v>
      </c>
      <c r="M111" s="1183">
        <f>SUM(C111:L111)</f>
        <v>4743382686.1727152</v>
      </c>
    </row>
    <row r="112" spans="1:13" ht="13">
      <c r="A112" s="572">
        <f t="shared" ref="A112:A123" si="20">A111+1</f>
        <v>55</v>
      </c>
      <c r="B112" s="732" t="s">
        <v>2607</v>
      </c>
      <c r="C112" s="1189">
        <v>20340874.507499993</v>
      </c>
      <c r="D112" s="1189">
        <v>95074250.879999995</v>
      </c>
      <c r="E112" s="1189">
        <v>288643331.09285641</v>
      </c>
      <c r="F112" s="1189">
        <v>1183436966.5227432</v>
      </c>
      <c r="G112" s="1189">
        <v>1754651594.3118269</v>
      </c>
      <c r="H112" s="1189">
        <v>159698964.18999997</v>
      </c>
      <c r="I112" s="1189">
        <v>822348707.69719708</v>
      </c>
      <c r="J112" s="1189">
        <v>190594193.64000005</v>
      </c>
      <c r="K112" s="1189">
        <v>81891290.009999976</v>
      </c>
      <c r="L112" s="1189">
        <v>146890691.62059191</v>
      </c>
      <c r="M112" s="1183">
        <f t="shared" ref="M112:M123" si="21">SUM(C112:L112)</f>
        <v>4743570864.4727163</v>
      </c>
    </row>
    <row r="113" spans="1:13" ht="13">
      <c r="A113" s="572">
        <f t="shared" si="20"/>
        <v>56</v>
      </c>
      <c r="B113" s="731" t="s">
        <v>2596</v>
      </c>
      <c r="C113" s="1189">
        <v>20363002.107499994</v>
      </c>
      <c r="D113" s="1189">
        <v>95074473.879999995</v>
      </c>
      <c r="E113" s="1189">
        <v>288622054.4728564</v>
      </c>
      <c r="F113" s="1189">
        <v>1183436564.4127433</v>
      </c>
      <c r="G113" s="1189">
        <v>1754771605.0718265</v>
      </c>
      <c r="H113" s="1189">
        <v>159802627.84999996</v>
      </c>
      <c r="I113" s="1189">
        <v>822472439.41719711</v>
      </c>
      <c r="J113" s="1189">
        <v>190603250.80000004</v>
      </c>
      <c r="K113" s="1189">
        <v>81895821.23999998</v>
      </c>
      <c r="L113" s="1189">
        <v>147002020.71059191</v>
      </c>
      <c r="M113" s="1183">
        <f t="shared" si="21"/>
        <v>4744043859.9627151</v>
      </c>
    </row>
    <row r="114" spans="1:13" ht="13">
      <c r="A114" s="572">
        <f t="shared" si="20"/>
        <v>57</v>
      </c>
      <c r="B114" s="731" t="s">
        <v>2597</v>
      </c>
      <c r="C114" s="1189">
        <v>20407655.107499994</v>
      </c>
      <c r="D114" s="1189">
        <v>95075665.00999999</v>
      </c>
      <c r="E114" s="1189">
        <v>288619776.81285638</v>
      </c>
      <c r="F114" s="1189">
        <v>1183465099.3227432</v>
      </c>
      <c r="G114" s="1189">
        <v>1751043805.7318263</v>
      </c>
      <c r="H114" s="1189">
        <v>159816773.64999998</v>
      </c>
      <c r="I114" s="1189">
        <v>824057749.50719702</v>
      </c>
      <c r="J114" s="1189">
        <v>190621945.42000005</v>
      </c>
      <c r="K114" s="1189">
        <v>81905174.029999986</v>
      </c>
      <c r="L114" s="1189">
        <v>149623337.27059191</v>
      </c>
      <c r="M114" s="1183">
        <f t="shared" si="21"/>
        <v>4744636981.8627148</v>
      </c>
    </row>
    <row r="115" spans="1:13" ht="13">
      <c r="A115" s="572">
        <f t="shared" si="20"/>
        <v>58</v>
      </c>
      <c r="B115" s="732" t="s">
        <v>2598</v>
      </c>
      <c r="C115" s="1189">
        <v>20405211.937499993</v>
      </c>
      <c r="D115" s="1189">
        <v>95078108.179999992</v>
      </c>
      <c r="E115" s="1189">
        <v>288640581.49285638</v>
      </c>
      <c r="F115" s="1189">
        <v>1183589550.3127432</v>
      </c>
      <c r="G115" s="1189">
        <v>1751105209.2418268</v>
      </c>
      <c r="H115" s="1189">
        <v>159691536.63999999</v>
      </c>
      <c r="I115" s="1189">
        <v>824247416.85719705</v>
      </c>
      <c r="J115" s="1189">
        <v>190632835.27000004</v>
      </c>
      <c r="K115" s="1189">
        <v>81910622.149999991</v>
      </c>
      <c r="L115" s="1189">
        <v>149575429.45059192</v>
      </c>
      <c r="M115" s="1183">
        <f t="shared" si="21"/>
        <v>4744876501.5327158</v>
      </c>
    </row>
    <row r="116" spans="1:13" ht="13">
      <c r="A116" s="572">
        <f t="shared" si="20"/>
        <v>59</v>
      </c>
      <c r="B116" s="731" t="s">
        <v>2599</v>
      </c>
      <c r="C116" s="1189">
        <v>20405330.637499992</v>
      </c>
      <c r="D116" s="1189">
        <v>95078108.179999992</v>
      </c>
      <c r="E116" s="1189">
        <v>288638777.55285639</v>
      </c>
      <c r="F116" s="1189">
        <v>1183594606.2727432</v>
      </c>
      <c r="G116" s="1189">
        <v>1751121500.4618263</v>
      </c>
      <c r="H116" s="1189">
        <v>159699634.19</v>
      </c>
      <c r="I116" s="1189">
        <v>824314066.4271971</v>
      </c>
      <c r="J116" s="1189">
        <v>190651958.86000004</v>
      </c>
      <c r="K116" s="1189">
        <v>81920189.50999999</v>
      </c>
      <c r="L116" s="1189">
        <v>149586933.89059192</v>
      </c>
      <c r="M116" s="1183">
        <f t="shared" si="21"/>
        <v>4745011105.9827147</v>
      </c>
    </row>
    <row r="117" spans="1:13" ht="13">
      <c r="A117" s="572">
        <f t="shared" si="20"/>
        <v>60</v>
      </c>
      <c r="B117" s="731" t="s">
        <v>2600</v>
      </c>
      <c r="C117" s="1189">
        <v>20480535.46749999</v>
      </c>
      <c r="D117" s="1189">
        <v>95078114.50999999</v>
      </c>
      <c r="E117" s="1189">
        <v>288639253.66285634</v>
      </c>
      <c r="F117" s="1189">
        <v>1183600166.962743</v>
      </c>
      <c r="G117" s="1189">
        <v>1751139651.8918269</v>
      </c>
      <c r="H117" s="1189">
        <v>159695642.06999999</v>
      </c>
      <c r="I117" s="1189">
        <v>824357887.10719728</v>
      </c>
      <c r="J117" s="1189">
        <v>190659637.08000004</v>
      </c>
      <c r="K117" s="1189">
        <v>81924030.859999985</v>
      </c>
      <c r="L117" s="1189">
        <v>149584627.23059192</v>
      </c>
      <c r="M117" s="1183">
        <f t="shared" si="21"/>
        <v>4745159546.8427153</v>
      </c>
    </row>
    <row r="118" spans="1:13" ht="13">
      <c r="A118" s="572">
        <f t="shared" si="20"/>
        <v>61</v>
      </c>
      <c r="B118" s="732" t="s">
        <v>2601</v>
      </c>
      <c r="C118" s="1189">
        <v>20476527.247499991</v>
      </c>
      <c r="D118" s="1189">
        <v>95082122.729999989</v>
      </c>
      <c r="E118" s="1189">
        <v>288103180.66285634</v>
      </c>
      <c r="F118" s="1189">
        <v>1184539127.7527432</v>
      </c>
      <c r="G118" s="1189">
        <v>1751244015.7018268</v>
      </c>
      <c r="H118" s="1189">
        <v>159735045.76999998</v>
      </c>
      <c r="I118" s="1189">
        <v>824458879.64719725</v>
      </c>
      <c r="J118" s="1189">
        <v>215040544.87000006</v>
      </c>
      <c r="K118" s="1189">
        <v>57147151.11999999</v>
      </c>
      <c r="L118" s="1189">
        <v>149612740.69059193</v>
      </c>
      <c r="M118" s="1183">
        <f t="shared" si="21"/>
        <v>4745439336.1927147</v>
      </c>
    </row>
    <row r="119" spans="1:13" ht="13">
      <c r="A119" s="572">
        <f t="shared" si="20"/>
        <v>62</v>
      </c>
      <c r="B119" s="731" t="s">
        <v>2602</v>
      </c>
      <c r="C119" s="1189">
        <v>20476527.247499991</v>
      </c>
      <c r="D119" s="1189">
        <v>95082122.729999989</v>
      </c>
      <c r="E119" s="1189">
        <v>288105189.55285639</v>
      </c>
      <c r="F119" s="1189">
        <v>1184558926.4527433</v>
      </c>
      <c r="G119" s="1189">
        <v>1751260450.3918269</v>
      </c>
      <c r="H119" s="1189">
        <v>159737073.08999997</v>
      </c>
      <c r="I119" s="1189">
        <v>824543553.5871973</v>
      </c>
      <c r="J119" s="1189">
        <v>215047554.18000007</v>
      </c>
      <c r="K119" s="1189">
        <v>57149532.289999992</v>
      </c>
      <c r="L119" s="1189">
        <v>149615105.42059192</v>
      </c>
      <c r="M119" s="1183">
        <f t="shared" si="21"/>
        <v>4745576034.9427166</v>
      </c>
    </row>
    <row r="120" spans="1:13" ht="13">
      <c r="A120" s="572">
        <f t="shared" si="20"/>
        <v>63</v>
      </c>
      <c r="B120" s="731" t="s">
        <v>2603</v>
      </c>
      <c r="C120" s="1189">
        <v>20492378.23749999</v>
      </c>
      <c r="D120" s="1189">
        <v>95082122.729999989</v>
      </c>
      <c r="E120" s="1189">
        <v>289299451.83285642</v>
      </c>
      <c r="F120" s="1189">
        <v>1184577800.7527432</v>
      </c>
      <c r="G120" s="1189">
        <v>1751277262.2018268</v>
      </c>
      <c r="H120" s="1189">
        <v>159730045.41999999</v>
      </c>
      <c r="I120" s="1189">
        <v>824595233.64719713</v>
      </c>
      <c r="J120" s="1189">
        <v>215053775.49000007</v>
      </c>
      <c r="K120" s="1189">
        <v>57151183.159999989</v>
      </c>
      <c r="L120" s="1189">
        <v>149613297.92059192</v>
      </c>
      <c r="M120" s="1183">
        <f t="shared" si="21"/>
        <v>4746872551.3927155</v>
      </c>
    </row>
    <row r="121" spans="1:13" ht="13">
      <c r="A121" s="572">
        <f t="shared" si="20"/>
        <v>64</v>
      </c>
      <c r="B121" s="732" t="s">
        <v>2604</v>
      </c>
      <c r="C121" s="1189">
        <v>20492444.19749999</v>
      </c>
      <c r="D121" s="1189">
        <v>95082967.469999984</v>
      </c>
      <c r="E121" s="1189">
        <v>289310904.63285649</v>
      </c>
      <c r="F121" s="1189">
        <v>1184575889.9427433</v>
      </c>
      <c r="G121" s="1189">
        <v>1751639510.0818269</v>
      </c>
      <c r="H121" s="1189">
        <v>160087166.53999999</v>
      </c>
      <c r="I121" s="1189">
        <v>825007110.50719702</v>
      </c>
      <c r="J121" s="1189">
        <v>215059304.88000005</v>
      </c>
      <c r="K121" s="1189">
        <v>57152282.669999987</v>
      </c>
      <c r="L121" s="1189">
        <v>149996739.71059191</v>
      </c>
      <c r="M121" s="1183">
        <f t="shared" si="21"/>
        <v>4748404320.6327162</v>
      </c>
    </row>
    <row r="122" spans="1:13" ht="13">
      <c r="A122" s="572">
        <f t="shared" si="20"/>
        <v>65</v>
      </c>
      <c r="B122" s="732" t="s">
        <v>2605</v>
      </c>
      <c r="C122" s="1189">
        <v>20557475.30749999</v>
      </c>
      <c r="D122" s="1189">
        <v>95083015.999999985</v>
      </c>
      <c r="E122" s="1189">
        <v>289310335.52285647</v>
      </c>
      <c r="F122" s="1189">
        <v>1184575960.6727433</v>
      </c>
      <c r="G122" s="1189">
        <v>1751897923.5918264</v>
      </c>
      <c r="H122" s="1189">
        <v>159924550.91999999</v>
      </c>
      <c r="I122" s="1189">
        <v>825612507.74719703</v>
      </c>
      <c r="J122" s="1189">
        <v>215070789.97000006</v>
      </c>
      <c r="K122" s="1189">
        <v>57156603.909999989</v>
      </c>
      <c r="L122" s="1189">
        <v>150071266.20059192</v>
      </c>
      <c r="M122" s="1183">
        <f t="shared" si="21"/>
        <v>4749260429.8427153</v>
      </c>
    </row>
    <row r="123" spans="1:13" ht="13">
      <c r="A123" s="572">
        <f t="shared" si="20"/>
        <v>66</v>
      </c>
      <c r="B123" s="731" t="s">
        <v>2606</v>
      </c>
      <c r="C123" s="1189">
        <v>20567881.547499988</v>
      </c>
      <c r="D123" s="1189">
        <v>95086484.279999986</v>
      </c>
      <c r="E123" s="1189">
        <v>327560005.78420037</v>
      </c>
      <c r="F123" s="1189">
        <v>1285246061.5526114</v>
      </c>
      <c r="G123" s="1189">
        <v>1754773794.6018269</v>
      </c>
      <c r="H123" s="1189">
        <v>161600028.58000001</v>
      </c>
      <c r="I123" s="1189">
        <v>827789058.51719701</v>
      </c>
      <c r="J123" s="1189">
        <v>215074930.83000007</v>
      </c>
      <c r="K123" s="1189">
        <v>57157937.139999986</v>
      </c>
      <c r="L123" s="1189">
        <v>150244444.52059191</v>
      </c>
      <c r="M123" s="1183">
        <f t="shared" si="21"/>
        <v>4895100627.3539276</v>
      </c>
    </row>
    <row r="124" spans="1:13" ht="13">
      <c r="A124" s="572"/>
      <c r="B124" s="1168"/>
      <c r="C124" s="232"/>
      <c r="D124" s="232"/>
      <c r="E124" s="232"/>
      <c r="F124" s="232"/>
      <c r="G124" s="232"/>
      <c r="H124" s="232"/>
      <c r="I124" s="232"/>
      <c r="J124" s="232"/>
      <c r="K124" s="232"/>
      <c r="L124" s="232"/>
      <c r="M124" s="232"/>
    </row>
    <row r="125" spans="1:13" ht="13">
      <c r="B125" s="44" t="s">
        <v>2361</v>
      </c>
      <c r="C125" s="14"/>
      <c r="D125" s="14"/>
      <c r="E125" s="14"/>
      <c r="F125" s="14"/>
      <c r="G125" s="14"/>
    </row>
    <row r="126" spans="1:13">
      <c r="B126" s="14"/>
      <c r="C126" s="14"/>
      <c r="D126" s="14"/>
      <c r="E126" s="14"/>
      <c r="F126" s="14"/>
      <c r="G126" s="14"/>
    </row>
    <row r="127" spans="1:13" ht="13">
      <c r="A127" s="394"/>
      <c r="B127" s="358" t="s">
        <v>359</v>
      </c>
      <c r="C127" s="358" t="s">
        <v>343</v>
      </c>
      <c r="D127" s="358" t="s">
        <v>344</v>
      </c>
      <c r="E127" s="358" t="s">
        <v>345</v>
      </c>
      <c r="F127" s="358" t="s">
        <v>346</v>
      </c>
      <c r="G127" s="358" t="s">
        <v>347</v>
      </c>
      <c r="H127" s="84" t="s">
        <v>348</v>
      </c>
      <c r="I127" s="84" t="s">
        <v>537</v>
      </c>
      <c r="J127" s="84" t="s">
        <v>954</v>
      </c>
      <c r="K127" s="84" t="s">
        <v>967</v>
      </c>
      <c r="L127" s="84" t="s">
        <v>970</v>
      </c>
      <c r="M127" s="84" t="s">
        <v>988</v>
      </c>
    </row>
    <row r="128" spans="1:13">
      <c r="A128" s="230"/>
      <c r="B128" s="454"/>
      <c r="C128" s="239"/>
      <c r="D128" s="239"/>
      <c r="E128" s="239"/>
      <c r="F128" s="239"/>
      <c r="G128" s="239"/>
      <c r="H128" s="230"/>
      <c r="I128" s="230"/>
      <c r="J128" s="230"/>
      <c r="K128" s="230"/>
      <c r="M128" s="247" t="s">
        <v>1220</v>
      </c>
    </row>
    <row r="129" spans="1:16" ht="13">
      <c r="A129" s="51"/>
      <c r="B129" s="123" t="s">
        <v>1760</v>
      </c>
      <c r="C129" s="358">
        <v>350.1</v>
      </c>
      <c r="D129" s="358">
        <v>350.2</v>
      </c>
      <c r="E129" s="358">
        <v>352</v>
      </c>
      <c r="F129" s="358">
        <v>353</v>
      </c>
      <c r="G129" s="358">
        <v>354</v>
      </c>
      <c r="H129" s="84">
        <v>355</v>
      </c>
      <c r="I129" s="84">
        <v>356</v>
      </c>
      <c r="J129" s="84">
        <v>357</v>
      </c>
      <c r="K129" s="84">
        <v>358</v>
      </c>
      <c r="L129" s="84">
        <v>359</v>
      </c>
      <c r="M129" s="3" t="s">
        <v>196</v>
      </c>
    </row>
    <row r="130" spans="1:16" ht="13">
      <c r="A130" s="572">
        <f>A123+1</f>
        <v>67</v>
      </c>
      <c r="B130" s="732" t="s">
        <v>2607</v>
      </c>
      <c r="C130" s="1184">
        <f>C112-C111</f>
        <v>3770.0799999982119</v>
      </c>
      <c r="D130" s="1184">
        <f t="shared" ref="D130:L130" si="22">D112-D111</f>
        <v>414.42000000178814</v>
      </c>
      <c r="E130" s="1184">
        <f t="shared" si="22"/>
        <v>35420.920000016689</v>
      </c>
      <c r="F130" s="1184">
        <f t="shared" si="22"/>
        <v>113282.94000005722</v>
      </c>
      <c r="G130" s="1184">
        <f t="shared" si="22"/>
        <v>-9114600.3599994183</v>
      </c>
      <c r="H130" s="1184">
        <f t="shared" si="22"/>
        <v>5012746.099999994</v>
      </c>
      <c r="I130" s="1184">
        <f t="shared" si="22"/>
        <v>4141847.3400000334</v>
      </c>
      <c r="J130" s="1184">
        <f t="shared" si="22"/>
        <v>-3733.9600000083447</v>
      </c>
      <c r="K130" s="1184">
        <f t="shared" si="22"/>
        <v>-1868.0799999982119</v>
      </c>
      <c r="L130" s="1184">
        <f t="shared" si="22"/>
        <v>898.90000000596046</v>
      </c>
      <c r="M130" s="1184">
        <f>SUM(C130:L130)</f>
        <v>188178.30000068247</v>
      </c>
      <c r="P130" s="7"/>
    </row>
    <row r="131" spans="1:16" ht="13">
      <c r="A131" s="572">
        <f t="shared" ref="A131:A142" si="23">A130+1</f>
        <v>68</v>
      </c>
      <c r="B131" s="731" t="s">
        <v>2596</v>
      </c>
      <c r="C131" s="1184">
        <f t="shared" ref="C131:L141" si="24">C113-C112</f>
        <v>22127.60000000149</v>
      </c>
      <c r="D131" s="1184">
        <f t="shared" si="24"/>
        <v>223</v>
      </c>
      <c r="E131" s="1184">
        <f t="shared" si="24"/>
        <v>-21276.620000004768</v>
      </c>
      <c r="F131" s="1184">
        <f t="shared" si="24"/>
        <v>-402.10999989509583</v>
      </c>
      <c r="G131" s="1184">
        <f t="shared" si="24"/>
        <v>120010.75999951363</v>
      </c>
      <c r="H131" s="1184">
        <f t="shared" si="24"/>
        <v>103663.65999999642</v>
      </c>
      <c r="I131" s="1184">
        <f t="shared" si="24"/>
        <v>123731.72000002861</v>
      </c>
      <c r="J131" s="1184">
        <f t="shared" si="24"/>
        <v>9057.1599999964237</v>
      </c>
      <c r="K131" s="1184">
        <f t="shared" si="24"/>
        <v>4531.2300000041723</v>
      </c>
      <c r="L131" s="1184">
        <f t="shared" si="24"/>
        <v>111329.09000000358</v>
      </c>
      <c r="M131" s="1184">
        <f t="shared" ref="M131:M141" si="25">SUM(C131:L131)</f>
        <v>472995.48999964446</v>
      </c>
      <c r="P131" s="7"/>
    </row>
    <row r="132" spans="1:16" ht="13">
      <c r="A132" s="572">
        <f t="shared" si="23"/>
        <v>69</v>
      </c>
      <c r="B132" s="731" t="s">
        <v>2597</v>
      </c>
      <c r="C132" s="1184">
        <f t="shared" si="24"/>
        <v>44653</v>
      </c>
      <c r="D132" s="1184">
        <f t="shared" si="24"/>
        <v>1191.1299999952316</v>
      </c>
      <c r="E132" s="1184">
        <f t="shared" si="24"/>
        <v>-2277.660000026226</v>
      </c>
      <c r="F132" s="1184">
        <f t="shared" si="24"/>
        <v>28534.909999847412</v>
      </c>
      <c r="G132" s="1184">
        <f t="shared" si="24"/>
        <v>-3727799.3400001526</v>
      </c>
      <c r="H132" s="1184">
        <f t="shared" si="24"/>
        <v>14145.800000011921</v>
      </c>
      <c r="I132" s="1184">
        <f t="shared" si="24"/>
        <v>1585310.0899999142</v>
      </c>
      <c r="J132" s="1184">
        <f t="shared" si="24"/>
        <v>18694.620000004768</v>
      </c>
      <c r="K132" s="1184">
        <f t="shared" si="24"/>
        <v>9352.7900000065565</v>
      </c>
      <c r="L132" s="1184">
        <f t="shared" si="24"/>
        <v>2621316.5600000024</v>
      </c>
      <c r="M132" s="1184">
        <f t="shared" si="25"/>
        <v>593121.89999960363</v>
      </c>
      <c r="P132" s="7"/>
    </row>
    <row r="133" spans="1:16" ht="13">
      <c r="A133" s="572">
        <f t="shared" si="23"/>
        <v>70</v>
      </c>
      <c r="B133" s="732" t="s">
        <v>2598</v>
      </c>
      <c r="C133" s="1184">
        <f t="shared" si="24"/>
        <v>-2443.1700000017881</v>
      </c>
      <c r="D133" s="1184">
        <f t="shared" si="24"/>
        <v>2443.1700000017881</v>
      </c>
      <c r="E133" s="1184">
        <f t="shared" si="24"/>
        <v>20804.680000007153</v>
      </c>
      <c r="F133" s="1184">
        <f t="shared" si="24"/>
        <v>124450.99000000954</v>
      </c>
      <c r="G133" s="1184">
        <f t="shared" si="24"/>
        <v>61403.5100004673</v>
      </c>
      <c r="H133" s="1184">
        <f t="shared" si="24"/>
        <v>-125237.00999999046</v>
      </c>
      <c r="I133" s="1184">
        <f t="shared" si="24"/>
        <v>189667.35000002384</v>
      </c>
      <c r="J133" s="1184">
        <f t="shared" si="24"/>
        <v>10889.84999999404</v>
      </c>
      <c r="K133" s="1184">
        <f t="shared" si="24"/>
        <v>5448.1200000047684</v>
      </c>
      <c r="L133" s="1184">
        <f t="shared" si="24"/>
        <v>-47907.819999992847</v>
      </c>
      <c r="M133" s="1184">
        <f t="shared" si="25"/>
        <v>239519.67000052333</v>
      </c>
      <c r="P133" s="7"/>
    </row>
    <row r="134" spans="1:16" ht="13">
      <c r="A134" s="572">
        <f t="shared" si="23"/>
        <v>71</v>
      </c>
      <c r="B134" s="731" t="s">
        <v>2599</v>
      </c>
      <c r="C134" s="1184">
        <f t="shared" si="24"/>
        <v>118.69999999925494</v>
      </c>
      <c r="D134" s="1184">
        <f t="shared" si="24"/>
        <v>0</v>
      </c>
      <c r="E134" s="1184">
        <f t="shared" si="24"/>
        <v>-1803.9399999976158</v>
      </c>
      <c r="F134" s="1184">
        <f t="shared" si="24"/>
        <v>5055.960000038147</v>
      </c>
      <c r="G134" s="1184">
        <f t="shared" si="24"/>
        <v>16291.219999551773</v>
      </c>
      <c r="H134" s="1184">
        <f t="shared" si="24"/>
        <v>8097.5500000119209</v>
      </c>
      <c r="I134" s="1184">
        <f t="shared" si="24"/>
        <v>66649.570000052452</v>
      </c>
      <c r="J134" s="1184">
        <f t="shared" si="24"/>
        <v>19123.590000003576</v>
      </c>
      <c r="K134" s="1184">
        <f t="shared" si="24"/>
        <v>9567.359999999404</v>
      </c>
      <c r="L134" s="1184">
        <f t="shared" si="24"/>
        <v>11504.439999997616</v>
      </c>
      <c r="M134" s="1184">
        <f t="shared" si="25"/>
        <v>134604.44999965653</v>
      </c>
      <c r="P134" s="7"/>
    </row>
    <row r="135" spans="1:16" ht="13">
      <c r="A135" s="572">
        <f t="shared" si="23"/>
        <v>72</v>
      </c>
      <c r="B135" s="731" t="s">
        <v>2600</v>
      </c>
      <c r="C135" s="1184">
        <f t="shared" si="24"/>
        <v>75204.829999998212</v>
      </c>
      <c r="D135" s="1184">
        <f t="shared" si="24"/>
        <v>6.3299999982118607</v>
      </c>
      <c r="E135" s="1184">
        <f t="shared" si="24"/>
        <v>476.10999995470047</v>
      </c>
      <c r="F135" s="1184">
        <f t="shared" si="24"/>
        <v>5560.6899998188019</v>
      </c>
      <c r="G135" s="1184">
        <f t="shared" si="24"/>
        <v>18151.430000543594</v>
      </c>
      <c r="H135" s="1184">
        <f t="shared" si="24"/>
        <v>-3992.1200000047684</v>
      </c>
      <c r="I135" s="1184">
        <f t="shared" si="24"/>
        <v>43820.680000185966</v>
      </c>
      <c r="J135" s="1184">
        <f t="shared" si="24"/>
        <v>7678.2199999988079</v>
      </c>
      <c r="K135" s="1184">
        <f t="shared" si="24"/>
        <v>3841.3499999940395</v>
      </c>
      <c r="L135" s="1184">
        <f t="shared" si="24"/>
        <v>-2306.6599999964237</v>
      </c>
      <c r="M135" s="1184">
        <f t="shared" si="25"/>
        <v>148440.86000049114</v>
      </c>
      <c r="P135" s="7"/>
    </row>
    <row r="136" spans="1:16" ht="13">
      <c r="A136" s="572">
        <f t="shared" si="23"/>
        <v>73</v>
      </c>
      <c r="B136" s="732" t="s">
        <v>2601</v>
      </c>
      <c r="C136" s="1184">
        <f t="shared" si="24"/>
        <v>-4008.2199999988079</v>
      </c>
      <c r="D136" s="1184">
        <f t="shared" si="24"/>
        <v>4008.2199999988079</v>
      </c>
      <c r="E136" s="1184">
        <f t="shared" si="24"/>
        <v>-536073</v>
      </c>
      <c r="F136" s="1184">
        <f t="shared" si="24"/>
        <v>938960.79000020027</v>
      </c>
      <c r="G136" s="1184">
        <f t="shared" si="24"/>
        <v>104363.80999994278</v>
      </c>
      <c r="H136" s="1184">
        <f t="shared" si="24"/>
        <v>39403.699999988079</v>
      </c>
      <c r="I136" s="1184">
        <f t="shared" si="24"/>
        <v>100992.53999996185</v>
      </c>
      <c r="J136" s="1184">
        <f t="shared" si="24"/>
        <v>24380907.790000021</v>
      </c>
      <c r="K136" s="1184">
        <f t="shared" si="24"/>
        <v>-24776879.739999995</v>
      </c>
      <c r="L136" s="1184">
        <f t="shared" si="24"/>
        <v>28113.460000008345</v>
      </c>
      <c r="M136" s="1184">
        <f t="shared" si="25"/>
        <v>279789.35000012815</v>
      </c>
      <c r="P136" s="7"/>
    </row>
    <row r="137" spans="1:16" ht="13">
      <c r="A137" s="572">
        <f t="shared" si="23"/>
        <v>74</v>
      </c>
      <c r="B137" s="731" t="s">
        <v>2602</v>
      </c>
      <c r="C137" s="1184">
        <f t="shared" si="24"/>
        <v>0</v>
      </c>
      <c r="D137" s="1184">
        <f t="shared" si="24"/>
        <v>0</v>
      </c>
      <c r="E137" s="1184">
        <f t="shared" si="24"/>
        <v>2008.8900000452995</v>
      </c>
      <c r="F137" s="1184">
        <f t="shared" si="24"/>
        <v>19798.700000047684</v>
      </c>
      <c r="G137" s="1184">
        <f t="shared" si="24"/>
        <v>16434.69000005722</v>
      </c>
      <c r="H137" s="1184">
        <f t="shared" si="24"/>
        <v>2027.3199999928474</v>
      </c>
      <c r="I137" s="1184">
        <f t="shared" si="24"/>
        <v>84673.94000005722</v>
      </c>
      <c r="J137" s="1184">
        <f t="shared" si="24"/>
        <v>7009.3100000023842</v>
      </c>
      <c r="K137" s="1184">
        <f t="shared" si="24"/>
        <v>2381.1700000017881</v>
      </c>
      <c r="L137" s="1184">
        <f t="shared" si="24"/>
        <v>2364.7299999892712</v>
      </c>
      <c r="M137" s="1184">
        <f t="shared" si="25"/>
        <v>136698.75000019372</v>
      </c>
      <c r="P137" s="7"/>
    </row>
    <row r="138" spans="1:16" ht="13">
      <c r="A138" s="572">
        <f t="shared" si="23"/>
        <v>75</v>
      </c>
      <c r="B138" s="731" t="s">
        <v>2603</v>
      </c>
      <c r="C138" s="1184">
        <f t="shared" si="24"/>
        <v>15850.989999998361</v>
      </c>
      <c r="D138" s="1184">
        <f t="shared" si="24"/>
        <v>0</v>
      </c>
      <c r="E138" s="1184">
        <f t="shared" si="24"/>
        <v>1194262.280000031</v>
      </c>
      <c r="F138" s="1184">
        <f t="shared" si="24"/>
        <v>18874.299999952316</v>
      </c>
      <c r="G138" s="1184">
        <f t="shared" si="24"/>
        <v>16811.80999994278</v>
      </c>
      <c r="H138" s="1184">
        <f t="shared" si="24"/>
        <v>-7027.669999986887</v>
      </c>
      <c r="I138" s="1184">
        <f t="shared" si="24"/>
        <v>51680.05999982357</v>
      </c>
      <c r="J138" s="1184">
        <f t="shared" si="24"/>
        <v>6221.3100000023842</v>
      </c>
      <c r="K138" s="1184">
        <f t="shared" si="24"/>
        <v>1650.8699999973178</v>
      </c>
      <c r="L138" s="1184">
        <f t="shared" si="24"/>
        <v>-1807.5</v>
      </c>
      <c r="M138" s="1184">
        <f t="shared" si="25"/>
        <v>1296516.4499997608</v>
      </c>
      <c r="P138" s="7"/>
    </row>
    <row r="139" spans="1:16" ht="13">
      <c r="A139" s="572">
        <f t="shared" si="23"/>
        <v>76</v>
      </c>
      <c r="B139" s="732" t="s">
        <v>2604</v>
      </c>
      <c r="C139" s="1184">
        <f t="shared" si="24"/>
        <v>65.96000000089407</v>
      </c>
      <c r="D139" s="1184">
        <f t="shared" si="24"/>
        <v>844.73999999463558</v>
      </c>
      <c r="E139" s="1184">
        <f t="shared" si="24"/>
        <v>11452.800000071526</v>
      </c>
      <c r="F139" s="1184">
        <f t="shared" si="24"/>
        <v>-1910.8099999427795</v>
      </c>
      <c r="G139" s="1184">
        <f t="shared" si="24"/>
        <v>362247.88000011444</v>
      </c>
      <c r="H139" s="1184">
        <f t="shared" si="24"/>
        <v>357121.12000000477</v>
      </c>
      <c r="I139" s="1184">
        <f t="shared" si="24"/>
        <v>411876.8599998951</v>
      </c>
      <c r="J139" s="1184">
        <f t="shared" si="24"/>
        <v>5529.3899999856949</v>
      </c>
      <c r="K139" s="1184">
        <f t="shared" si="24"/>
        <v>1099.5099999979138</v>
      </c>
      <c r="L139" s="1184">
        <f t="shared" si="24"/>
        <v>383441.78999999166</v>
      </c>
      <c r="M139" s="1184">
        <f t="shared" si="25"/>
        <v>1531769.2400001138</v>
      </c>
      <c r="P139" s="7"/>
    </row>
    <row r="140" spans="1:16" ht="13">
      <c r="A140" s="572">
        <f t="shared" si="23"/>
        <v>77</v>
      </c>
      <c r="B140" s="732" t="s">
        <v>2605</v>
      </c>
      <c r="C140" s="1184">
        <f t="shared" si="24"/>
        <v>65031.109999999404</v>
      </c>
      <c r="D140" s="1184">
        <f t="shared" si="24"/>
        <v>48.530000001192093</v>
      </c>
      <c r="E140" s="1184">
        <f t="shared" si="24"/>
        <v>-569.11000001430511</v>
      </c>
      <c r="F140" s="1184">
        <f t="shared" si="24"/>
        <v>70.730000019073486</v>
      </c>
      <c r="G140" s="1184">
        <f t="shared" si="24"/>
        <v>258413.50999951363</v>
      </c>
      <c r="H140" s="1184">
        <f t="shared" si="24"/>
        <v>-162615.62000000477</v>
      </c>
      <c r="I140" s="1184">
        <f t="shared" si="24"/>
        <v>605397.24000000954</v>
      </c>
      <c r="J140" s="1184">
        <f t="shared" si="24"/>
        <v>11485.090000003576</v>
      </c>
      <c r="K140" s="1184">
        <f t="shared" si="24"/>
        <v>4321.2400000020862</v>
      </c>
      <c r="L140" s="1184">
        <f t="shared" si="24"/>
        <v>74526.490000009537</v>
      </c>
      <c r="M140" s="1184">
        <f t="shared" si="25"/>
        <v>856109.20999953896</v>
      </c>
      <c r="P140" s="7"/>
    </row>
    <row r="141" spans="1:16" ht="13">
      <c r="A141" s="572">
        <f t="shared" si="23"/>
        <v>78</v>
      </c>
      <c r="B141" s="731" t="s">
        <v>2606</v>
      </c>
      <c r="C141" s="1185">
        <f t="shared" si="24"/>
        <v>10406.239999998361</v>
      </c>
      <c r="D141" s="1185">
        <f t="shared" si="24"/>
        <v>3468.2800000011921</v>
      </c>
      <c r="E141" s="1185">
        <f t="shared" si="24"/>
        <v>38249670.261343896</v>
      </c>
      <c r="F141" s="1185">
        <f t="shared" si="24"/>
        <v>100670100.87986803</v>
      </c>
      <c r="G141" s="1185">
        <f t="shared" si="24"/>
        <v>2875871.0100004673</v>
      </c>
      <c r="H141" s="1185">
        <f t="shared" si="24"/>
        <v>1675477.6600000262</v>
      </c>
      <c r="I141" s="1185">
        <f t="shared" si="24"/>
        <v>2176550.7699999809</v>
      </c>
      <c r="J141" s="1185">
        <f t="shared" si="24"/>
        <v>4140.8600000143051</v>
      </c>
      <c r="K141" s="1185">
        <f t="shared" si="24"/>
        <v>1333.2299999967217</v>
      </c>
      <c r="L141" s="1185">
        <f t="shared" si="24"/>
        <v>173178.31999999285</v>
      </c>
      <c r="M141" s="1185">
        <f t="shared" si="25"/>
        <v>145840197.51121238</v>
      </c>
      <c r="P141" s="7"/>
    </row>
    <row r="142" spans="1:16" ht="13">
      <c r="A142" s="572">
        <f t="shared" si="23"/>
        <v>79</v>
      </c>
      <c r="B142" s="1168" t="s">
        <v>4</v>
      </c>
      <c r="C142" s="1184">
        <f>SUM(C130:C141)</f>
        <v>230777.11999999359</v>
      </c>
      <c r="D142" s="1184">
        <f t="shared" ref="D142:M142" si="26">SUM(D130:D141)</f>
        <v>12647.819999992847</v>
      </c>
      <c r="E142" s="1184">
        <f t="shared" si="26"/>
        <v>38952095.61134398</v>
      </c>
      <c r="F142" s="1184">
        <f t="shared" si="26"/>
        <v>101922377.96986818</v>
      </c>
      <c r="G142" s="1184">
        <f t="shared" si="26"/>
        <v>-8992400.0699994564</v>
      </c>
      <c r="H142" s="1184">
        <f t="shared" si="26"/>
        <v>6913810.4900000393</v>
      </c>
      <c r="I142" s="1184">
        <f t="shared" si="26"/>
        <v>9582198.1599999666</v>
      </c>
      <c r="J142" s="1184">
        <f t="shared" si="26"/>
        <v>24477003.230000019</v>
      </c>
      <c r="K142" s="1184">
        <f t="shared" si="26"/>
        <v>-24735220.949999988</v>
      </c>
      <c r="L142" s="1184">
        <f t="shared" si="26"/>
        <v>3354651.8000000119</v>
      </c>
      <c r="M142" s="1184">
        <f t="shared" si="26"/>
        <v>151717941.18121272</v>
      </c>
      <c r="P142" s="7"/>
    </row>
    <row r="143" spans="1:16" ht="13">
      <c r="A143" s="572"/>
      <c r="B143" s="1168"/>
      <c r="C143" s="1183"/>
      <c r="D143" s="1183"/>
      <c r="E143" s="1183"/>
      <c r="F143" s="1183"/>
      <c r="G143" s="1183"/>
      <c r="H143" s="1183"/>
      <c r="I143" s="1183"/>
      <c r="J143" s="1183"/>
      <c r="K143" s="1183"/>
      <c r="L143" s="1183"/>
      <c r="M143" s="1183"/>
    </row>
    <row r="144" spans="1:16" ht="13">
      <c r="B144" s="1186" t="s">
        <v>2362</v>
      </c>
      <c r="C144" s="14"/>
      <c r="D144" s="14"/>
      <c r="E144" s="14"/>
      <c r="F144" s="14"/>
      <c r="G144" s="14"/>
    </row>
    <row r="145" spans="1:13">
      <c r="B145" s="14"/>
      <c r="C145" s="14"/>
      <c r="D145" s="14"/>
      <c r="E145" s="14"/>
      <c r="F145" s="14"/>
      <c r="G145" s="14"/>
    </row>
    <row r="146" spans="1:13" ht="13">
      <c r="A146" s="394"/>
      <c r="B146" s="358" t="s">
        <v>359</v>
      </c>
      <c r="C146" s="358" t="s">
        <v>343</v>
      </c>
      <c r="D146" s="358" t="s">
        <v>344</v>
      </c>
      <c r="E146" s="358" t="s">
        <v>345</v>
      </c>
      <c r="F146" s="358" t="s">
        <v>346</v>
      </c>
      <c r="G146" s="358" t="s">
        <v>347</v>
      </c>
      <c r="H146" s="84" t="s">
        <v>348</v>
      </c>
      <c r="I146" s="84" t="s">
        <v>537</v>
      </c>
      <c r="J146" s="84" t="s">
        <v>954</v>
      </c>
      <c r="K146" s="84" t="s">
        <v>967</v>
      </c>
      <c r="L146" s="84" t="s">
        <v>970</v>
      </c>
      <c r="M146" s="84" t="s">
        <v>988</v>
      </c>
    </row>
    <row r="147" spans="1:13">
      <c r="A147" s="230"/>
      <c r="B147" s="454"/>
      <c r="C147" s="239"/>
      <c r="D147" s="239"/>
      <c r="E147" s="239"/>
      <c r="F147" s="239"/>
      <c r="G147" s="239"/>
      <c r="H147" s="230"/>
      <c r="I147" s="230"/>
      <c r="J147" s="230"/>
      <c r="K147" s="230"/>
      <c r="M147" s="247" t="s">
        <v>1220</v>
      </c>
    </row>
    <row r="148" spans="1:13" ht="13">
      <c r="A148" s="51"/>
      <c r="B148" s="123" t="s">
        <v>1760</v>
      </c>
      <c r="C148" s="358">
        <v>350.1</v>
      </c>
      <c r="D148" s="358">
        <v>350.2</v>
      </c>
      <c r="E148" s="358">
        <v>352</v>
      </c>
      <c r="F148" s="358">
        <v>353</v>
      </c>
      <c r="G148" s="358">
        <v>354</v>
      </c>
      <c r="H148" s="84">
        <v>355</v>
      </c>
      <c r="I148" s="84">
        <v>356</v>
      </c>
      <c r="J148" s="84">
        <v>357</v>
      </c>
      <c r="K148" s="84">
        <v>358</v>
      </c>
      <c r="L148" s="84">
        <v>359</v>
      </c>
      <c r="M148" s="3" t="s">
        <v>196</v>
      </c>
    </row>
    <row r="149" spans="1:13" ht="13">
      <c r="A149" s="572">
        <f>A142+1</f>
        <v>80</v>
      </c>
      <c r="B149" s="732" t="s">
        <v>2607</v>
      </c>
      <c r="C149" s="1146">
        <f>C92-C130</f>
        <v>-368.18000000715256</v>
      </c>
      <c r="D149" s="1146">
        <f t="shared" ref="D149:L160" si="27">D92-D130</f>
        <v>-22029.119999989867</v>
      </c>
      <c r="E149" s="1146">
        <f t="shared" si="27"/>
        <v>4740163.5799999833</v>
      </c>
      <c r="F149" s="1146">
        <f t="shared" si="27"/>
        <v>6784104.0700001717</v>
      </c>
      <c r="G149" s="1146">
        <f t="shared" si="27"/>
        <v>-2371716.6400005817</v>
      </c>
      <c r="H149" s="1146">
        <f t="shared" si="27"/>
        <v>11581244.900000006</v>
      </c>
      <c r="I149" s="1146">
        <f t="shared" si="27"/>
        <v>4793075.6599999666</v>
      </c>
      <c r="J149" s="1146">
        <f t="shared" si="27"/>
        <v>8923.2600000202656</v>
      </c>
      <c r="K149" s="1146">
        <f t="shared" si="27"/>
        <v>-58642.920000001788</v>
      </c>
      <c r="L149" s="1146">
        <f t="shared" si="27"/>
        <v>12649.09999999404</v>
      </c>
      <c r="M149" s="1146">
        <f>SUM(C149:L149)</f>
        <v>25467403.709999561</v>
      </c>
    </row>
    <row r="150" spans="1:13" ht="13">
      <c r="A150" s="572">
        <f t="shared" ref="A150:A161" si="28">A149+1</f>
        <v>81</v>
      </c>
      <c r="B150" s="731" t="s">
        <v>2596</v>
      </c>
      <c r="C150" s="1146">
        <f t="shared" ref="C150:C160" si="29">C93-C131</f>
        <v>7.4505805969238281E-9</v>
      </c>
      <c r="D150" s="1146">
        <f t="shared" si="27"/>
        <v>10246</v>
      </c>
      <c r="E150" s="1146">
        <f t="shared" si="27"/>
        <v>8142192.5199999809</v>
      </c>
      <c r="F150" s="1146">
        <f t="shared" si="27"/>
        <v>215560.38000035286</v>
      </c>
      <c r="G150" s="1146">
        <f t="shared" si="27"/>
        <v>301936.24000048637</v>
      </c>
      <c r="H150" s="1146">
        <f t="shared" si="27"/>
        <v>20116024.340000004</v>
      </c>
      <c r="I150" s="1146">
        <f t="shared" si="27"/>
        <v>333872.27999997139</v>
      </c>
      <c r="J150" s="1146">
        <f t="shared" si="27"/>
        <v>-3851.6599999964237</v>
      </c>
      <c r="K150" s="1146">
        <f t="shared" si="27"/>
        <v>103907.76999999583</v>
      </c>
      <c r="L150" s="1146">
        <f t="shared" si="27"/>
        <v>83063.409999996424</v>
      </c>
      <c r="M150" s="1146">
        <f t="shared" ref="M150:M160" si="30">SUM(C150:L150)</f>
        <v>29302951.280000798</v>
      </c>
    </row>
    <row r="151" spans="1:13" ht="13">
      <c r="A151" s="572">
        <f t="shared" si="28"/>
        <v>82</v>
      </c>
      <c r="B151" s="731" t="s">
        <v>2597</v>
      </c>
      <c r="C151" s="1146">
        <f t="shared" si="29"/>
        <v>0</v>
      </c>
      <c r="D151" s="1146">
        <f t="shared" si="27"/>
        <v>17210.869999974966</v>
      </c>
      <c r="E151" s="1146">
        <f t="shared" si="27"/>
        <v>13226667.26000005</v>
      </c>
      <c r="F151" s="1146">
        <f t="shared" si="27"/>
        <v>23236905.620000839</v>
      </c>
      <c r="G151" s="1146">
        <f t="shared" si="27"/>
        <v>3896629.3400001526</v>
      </c>
      <c r="H151" s="1146">
        <f t="shared" si="27"/>
        <v>21903577.199999988</v>
      </c>
      <c r="I151" s="1146">
        <f t="shared" si="27"/>
        <v>1179184.9100000858</v>
      </c>
      <c r="J151" s="1146">
        <f t="shared" si="27"/>
        <v>1043572.4799999595</v>
      </c>
      <c r="K151" s="1146">
        <f t="shared" si="27"/>
        <v>2027429.8099999577</v>
      </c>
      <c r="L151" s="1146">
        <f t="shared" si="27"/>
        <v>10106.140000015497</v>
      </c>
      <c r="M151" s="1146">
        <f t="shared" si="30"/>
        <v>66541283.630001023</v>
      </c>
    </row>
    <row r="152" spans="1:13" ht="13">
      <c r="A152" s="572">
        <f t="shared" si="28"/>
        <v>83</v>
      </c>
      <c r="B152" s="732" t="s">
        <v>2598</v>
      </c>
      <c r="C152" s="1146">
        <f t="shared" si="29"/>
        <v>71945.469999998808</v>
      </c>
      <c r="D152" s="1146">
        <f t="shared" si="27"/>
        <v>-21730.769999995828</v>
      </c>
      <c r="E152" s="1146">
        <f t="shared" si="27"/>
        <v>430863.31999999285</v>
      </c>
      <c r="F152" s="1146">
        <f t="shared" si="27"/>
        <v>25282393.689999342</v>
      </c>
      <c r="G152" s="1146">
        <f t="shared" si="27"/>
        <v>4080391.4899995327</v>
      </c>
      <c r="H152" s="1146">
        <f t="shared" si="27"/>
        <v>11307017.00999999</v>
      </c>
      <c r="I152" s="1146">
        <f t="shared" si="27"/>
        <v>18678976.649999976</v>
      </c>
      <c r="J152" s="1146">
        <f t="shared" si="27"/>
        <v>22997.15000000596</v>
      </c>
      <c r="K152" s="1146">
        <f t="shared" si="27"/>
        <v>29459.480000019073</v>
      </c>
      <c r="L152" s="1146">
        <f t="shared" si="27"/>
        <v>150024.31999999285</v>
      </c>
      <c r="M152" s="1146">
        <f t="shared" si="30"/>
        <v>60032337.809998855</v>
      </c>
    </row>
    <row r="153" spans="1:13" ht="13">
      <c r="A153" s="572">
        <f t="shared" si="28"/>
        <v>84</v>
      </c>
      <c r="B153" s="731" t="s">
        <v>2599</v>
      </c>
      <c r="C153" s="1146">
        <f t="shared" si="29"/>
        <v>4185.9700000025332</v>
      </c>
      <c r="D153" s="1146">
        <f t="shared" si="27"/>
        <v>17284.579999983311</v>
      </c>
      <c r="E153" s="1146">
        <f t="shared" si="27"/>
        <v>9071592.5899999738</v>
      </c>
      <c r="F153" s="1146">
        <f t="shared" si="27"/>
        <v>50433389.339999199</v>
      </c>
      <c r="G153" s="1146">
        <f t="shared" si="27"/>
        <v>1025835.8500006199</v>
      </c>
      <c r="H153" s="1146">
        <f t="shared" si="27"/>
        <v>11593568.650000036</v>
      </c>
      <c r="I153" s="1146">
        <f t="shared" si="27"/>
        <v>25854527.459999919</v>
      </c>
      <c r="J153" s="1146">
        <f t="shared" si="27"/>
        <v>435888.16999998689</v>
      </c>
      <c r="K153" s="1146">
        <f t="shared" si="27"/>
        <v>444651.03999997675</v>
      </c>
      <c r="L153" s="1146">
        <f t="shared" si="27"/>
        <v>1255063</v>
      </c>
      <c r="M153" s="1146">
        <f t="shared" si="30"/>
        <v>100135986.64999969</v>
      </c>
    </row>
    <row r="154" spans="1:13" ht="13">
      <c r="A154" s="572">
        <f t="shared" si="28"/>
        <v>85</v>
      </c>
      <c r="B154" s="731" t="s">
        <v>2600</v>
      </c>
      <c r="C154" s="1146">
        <f t="shared" si="29"/>
        <v>-1374.5300000011921</v>
      </c>
      <c r="D154" s="1146">
        <f t="shared" si="27"/>
        <v>69130.100000008941</v>
      </c>
      <c r="E154" s="1146">
        <f t="shared" si="27"/>
        <v>1174500.5700001121</v>
      </c>
      <c r="F154" s="1146">
        <f t="shared" si="27"/>
        <v>8625737.2500007153</v>
      </c>
      <c r="G154" s="1146">
        <f t="shared" si="27"/>
        <v>4206897.8799993992</v>
      </c>
      <c r="H154" s="1146">
        <f t="shared" si="27"/>
        <v>11424870.459999919</v>
      </c>
      <c r="I154" s="1146">
        <f t="shared" si="27"/>
        <v>9836980.2099999189</v>
      </c>
      <c r="J154" s="1146">
        <f t="shared" si="27"/>
        <v>-1938534.9899999797</v>
      </c>
      <c r="K154" s="1146">
        <f t="shared" si="27"/>
        <v>-2205034.4799999893</v>
      </c>
      <c r="L154" s="1146">
        <f t="shared" si="27"/>
        <v>-5298.410000026226</v>
      </c>
      <c r="M154" s="1146">
        <f t="shared" si="30"/>
        <v>31187874.060000077</v>
      </c>
    </row>
    <row r="155" spans="1:13" ht="13">
      <c r="A155" s="572">
        <f t="shared" si="28"/>
        <v>86</v>
      </c>
      <c r="B155" s="732" t="s">
        <v>2601</v>
      </c>
      <c r="C155" s="1146">
        <f t="shared" si="29"/>
        <v>0</v>
      </c>
      <c r="D155" s="1146">
        <f t="shared" si="27"/>
        <v>35440.659999996424</v>
      </c>
      <c r="E155" s="1146">
        <f t="shared" si="27"/>
        <v>896831.67999994755</v>
      </c>
      <c r="F155" s="1146">
        <f t="shared" si="27"/>
        <v>8704097.8399999142</v>
      </c>
      <c r="G155" s="1146">
        <f t="shared" si="27"/>
        <v>1390989.8499999046</v>
      </c>
      <c r="H155" s="1146">
        <f t="shared" si="27"/>
        <v>12799449.740000069</v>
      </c>
      <c r="I155" s="1146">
        <f t="shared" si="27"/>
        <v>1509066.75</v>
      </c>
      <c r="J155" s="1146">
        <f t="shared" si="27"/>
        <v>421571.64999997616</v>
      </c>
      <c r="K155" s="1146">
        <f t="shared" si="27"/>
        <v>-1140697.419999972</v>
      </c>
      <c r="L155" s="1146">
        <f t="shared" si="27"/>
        <v>5804.2899999916553</v>
      </c>
      <c r="M155" s="1146">
        <f t="shared" si="30"/>
        <v>24622555.039999828</v>
      </c>
    </row>
    <row r="156" spans="1:13" ht="13">
      <c r="A156" s="572">
        <f t="shared" si="28"/>
        <v>87</v>
      </c>
      <c r="B156" s="731" t="s">
        <v>2602</v>
      </c>
      <c r="C156" s="1146">
        <f t="shared" si="29"/>
        <v>0</v>
      </c>
      <c r="D156" s="1146">
        <f t="shared" si="27"/>
        <v>105.98000001907349</v>
      </c>
      <c r="E156" s="1146">
        <f t="shared" si="27"/>
        <v>27985123.579999983</v>
      </c>
      <c r="F156" s="1146">
        <f t="shared" si="27"/>
        <v>50269412.719999075</v>
      </c>
      <c r="G156" s="1146">
        <f t="shared" si="27"/>
        <v>2212553.3800001144</v>
      </c>
      <c r="H156" s="1146">
        <f t="shared" si="27"/>
        <v>7312638.3099998832</v>
      </c>
      <c r="I156" s="1146">
        <f t="shared" si="27"/>
        <v>-1424548.4700000286</v>
      </c>
      <c r="J156" s="1146">
        <f t="shared" si="27"/>
        <v>147.14999997615814</v>
      </c>
      <c r="K156" s="1146">
        <f t="shared" si="27"/>
        <v>1276107.7499999553</v>
      </c>
      <c r="L156" s="1146">
        <f t="shared" si="27"/>
        <v>1125.0900000333786</v>
      </c>
      <c r="M156" s="1146">
        <f t="shared" si="30"/>
        <v>87632665.489999011</v>
      </c>
    </row>
    <row r="157" spans="1:13" ht="13">
      <c r="A157" s="572">
        <f t="shared" si="28"/>
        <v>88</v>
      </c>
      <c r="B157" s="731" t="s">
        <v>2603</v>
      </c>
      <c r="C157" s="1146">
        <f t="shared" si="29"/>
        <v>736.96000000461936</v>
      </c>
      <c r="D157" s="1146">
        <f t="shared" si="27"/>
        <v>54892.619999974966</v>
      </c>
      <c r="E157" s="1146">
        <f t="shared" si="27"/>
        <v>2466047.0299999118</v>
      </c>
      <c r="F157" s="1146">
        <f t="shared" si="27"/>
        <v>12036012.340000391</v>
      </c>
      <c r="G157" s="1146">
        <f t="shared" si="27"/>
        <v>14536606.889999866</v>
      </c>
      <c r="H157" s="1146">
        <f t="shared" si="27"/>
        <v>8811285.7900001109</v>
      </c>
      <c r="I157" s="1146">
        <f t="shared" si="27"/>
        <v>10395455.980000138</v>
      </c>
      <c r="J157" s="1146">
        <f t="shared" si="27"/>
        <v>79190.850000023842</v>
      </c>
      <c r="K157" s="1146">
        <f t="shared" si="27"/>
        <v>751770.12000001222</v>
      </c>
      <c r="L157" s="1146">
        <f t="shared" si="27"/>
        <v>8086.1799999773502</v>
      </c>
      <c r="M157" s="1146">
        <f t="shared" si="30"/>
        <v>49140084.760000415</v>
      </c>
    </row>
    <row r="158" spans="1:13" ht="13">
      <c r="A158" s="572">
        <f t="shared" si="28"/>
        <v>89</v>
      </c>
      <c r="B158" s="732" t="s">
        <v>2604</v>
      </c>
      <c r="C158" s="1146">
        <f t="shared" si="29"/>
        <v>-500.64999999850988</v>
      </c>
      <c r="D158" s="1146">
        <f t="shared" si="27"/>
        <v>1266.1300000101328</v>
      </c>
      <c r="E158" s="1146">
        <f t="shared" si="27"/>
        <v>1189957.1699999571</v>
      </c>
      <c r="F158" s="1146">
        <f t="shared" si="27"/>
        <v>15657045.570000172</v>
      </c>
      <c r="G158" s="1146">
        <f t="shared" si="27"/>
        <v>1237846.9299998283</v>
      </c>
      <c r="H158" s="1146">
        <f t="shared" si="27"/>
        <v>11538833.699999928</v>
      </c>
      <c r="I158" s="1146">
        <f t="shared" si="27"/>
        <v>28312937.220000029</v>
      </c>
      <c r="J158" s="1146">
        <f t="shared" si="27"/>
        <v>232912.43999999762</v>
      </c>
      <c r="K158" s="1146">
        <f t="shared" si="27"/>
        <v>374660.85000001639</v>
      </c>
      <c r="L158" s="1146">
        <f t="shared" si="27"/>
        <v>349676.30000001192</v>
      </c>
      <c r="M158" s="1146">
        <f t="shared" si="30"/>
        <v>58894635.659999952</v>
      </c>
    </row>
    <row r="159" spans="1:13" ht="13">
      <c r="A159" s="572">
        <f t="shared" si="28"/>
        <v>90</v>
      </c>
      <c r="B159" s="732" t="s">
        <v>2605</v>
      </c>
      <c r="C159" s="1146">
        <f t="shared" si="29"/>
        <v>1303358.6999999881</v>
      </c>
      <c r="D159" s="1146">
        <f t="shared" si="27"/>
        <v>-6555.8199999928474</v>
      </c>
      <c r="E159" s="1146">
        <f t="shared" si="27"/>
        <v>-207577.92999994755</v>
      </c>
      <c r="F159" s="1146">
        <f t="shared" si="27"/>
        <v>16639190.759998798</v>
      </c>
      <c r="G159" s="1146">
        <f t="shared" si="27"/>
        <v>1445974.580000639</v>
      </c>
      <c r="H159" s="1146">
        <f t="shared" si="27"/>
        <v>12796211.169999957</v>
      </c>
      <c r="I159" s="1146">
        <f t="shared" si="27"/>
        <v>2365030.2899999619</v>
      </c>
      <c r="J159" s="1146">
        <f t="shared" si="27"/>
        <v>13395.260000020266</v>
      </c>
      <c r="K159" s="1146">
        <f t="shared" si="27"/>
        <v>50213.269999988377</v>
      </c>
      <c r="L159" s="1146">
        <f t="shared" si="27"/>
        <v>833633.77000001073</v>
      </c>
      <c r="M159" s="1146">
        <f t="shared" si="30"/>
        <v>35232874.049999423</v>
      </c>
    </row>
    <row r="160" spans="1:13" ht="13">
      <c r="A160" s="572">
        <f t="shared" si="28"/>
        <v>91</v>
      </c>
      <c r="B160" s="731" t="s">
        <v>2606</v>
      </c>
      <c r="C160" s="1187">
        <f t="shared" si="29"/>
        <v>-1275.9999999888241</v>
      </c>
      <c r="D160" s="1187">
        <f t="shared" si="27"/>
        <v>71000.030000001192</v>
      </c>
      <c r="E160" s="1187">
        <f t="shared" si="27"/>
        <v>52140048.39865607</v>
      </c>
      <c r="F160" s="1187">
        <f t="shared" si="27"/>
        <v>125501019.18013334</v>
      </c>
      <c r="G160" s="1187">
        <f t="shared" si="27"/>
        <v>1566093.8999993801</v>
      </c>
      <c r="H160" s="1187">
        <f t="shared" si="27"/>
        <v>18570042.790000021</v>
      </c>
      <c r="I160" s="1187">
        <f t="shared" si="27"/>
        <v>-698155.51999998093</v>
      </c>
      <c r="J160" s="1187">
        <f t="shared" si="27"/>
        <v>382061.70999997854</v>
      </c>
      <c r="K160" s="1187">
        <f t="shared" si="27"/>
        <v>-55941.619999982417</v>
      </c>
      <c r="L160" s="1187">
        <f t="shared" si="27"/>
        <v>48589.359999984503</v>
      </c>
      <c r="M160" s="1187">
        <f t="shared" si="30"/>
        <v>197523482.22878885</v>
      </c>
    </row>
    <row r="161" spans="1:13" ht="13">
      <c r="A161" s="572">
        <f t="shared" si="28"/>
        <v>92</v>
      </c>
      <c r="B161" s="1168" t="s">
        <v>4</v>
      </c>
      <c r="C161" s="1146">
        <f>SUM(C149:C160)</f>
        <v>1376707.7400000058</v>
      </c>
      <c r="D161" s="1146">
        <f t="shared" ref="D161:M161" si="31">SUM(D149:D160)</f>
        <v>226261.25999999046</v>
      </c>
      <c r="E161" s="1146">
        <f t="shared" si="31"/>
        <v>121256409.76865602</v>
      </c>
      <c r="F161" s="1146">
        <f t="shared" si="31"/>
        <v>343384868.76013231</v>
      </c>
      <c r="G161" s="1146">
        <f t="shared" si="31"/>
        <v>33530039.689999342</v>
      </c>
      <c r="H161" s="1146">
        <f t="shared" si="31"/>
        <v>159754764.05999991</v>
      </c>
      <c r="I161" s="1146">
        <f t="shared" si="31"/>
        <v>101136403.41999996</v>
      </c>
      <c r="J161" s="1146">
        <f t="shared" si="31"/>
        <v>698273.46999996901</v>
      </c>
      <c r="K161" s="1146">
        <f t="shared" si="31"/>
        <v>1597883.6499999762</v>
      </c>
      <c r="L161" s="1146">
        <f t="shared" si="31"/>
        <v>2752522.5499999821</v>
      </c>
      <c r="M161" s="1146">
        <f t="shared" si="31"/>
        <v>765714134.36878753</v>
      </c>
    </row>
    <row r="162" spans="1:13" ht="13">
      <c r="A162" s="572"/>
      <c r="B162" s="1168"/>
      <c r="C162" s="1183"/>
      <c r="D162" s="1183"/>
      <c r="E162" s="1183"/>
      <c r="F162" s="1183"/>
      <c r="G162" s="1183"/>
      <c r="H162" s="1183"/>
      <c r="I162" s="1183"/>
      <c r="J162" s="1183"/>
      <c r="K162" s="1183"/>
      <c r="L162" s="1183"/>
      <c r="M162" s="1183"/>
    </row>
    <row r="163" spans="1:13" s="476" customFormat="1" ht="13">
      <c r="B163" s="44" t="s">
        <v>2363</v>
      </c>
      <c r="M163" s="1183"/>
    </row>
    <row r="164" spans="1:13" s="476" customFormat="1">
      <c r="M164" s="1183"/>
    </row>
    <row r="165" spans="1:13" s="476" customFormat="1" ht="13">
      <c r="B165" s="109" t="s">
        <v>1760</v>
      </c>
      <c r="C165" s="930">
        <v>350.1</v>
      </c>
      <c r="D165" s="930">
        <v>350.2</v>
      </c>
      <c r="E165" s="930">
        <v>352</v>
      </c>
      <c r="F165" s="930">
        <v>353</v>
      </c>
      <c r="G165" s="930">
        <v>354</v>
      </c>
      <c r="H165" s="4">
        <v>355</v>
      </c>
      <c r="I165" s="4">
        <v>356</v>
      </c>
      <c r="J165" s="4">
        <v>357</v>
      </c>
      <c r="K165" s="4">
        <v>358</v>
      </c>
      <c r="L165" s="4">
        <v>359</v>
      </c>
      <c r="M165" s="1183"/>
    </row>
    <row r="166" spans="1:13" s="476" customFormat="1" ht="13">
      <c r="A166" s="572">
        <f>A161+1</f>
        <v>93</v>
      </c>
      <c r="B166" s="732" t="s">
        <v>2607</v>
      </c>
      <c r="C166" s="1190">
        <f>C149/C$161</f>
        <v>-2.6743512025809559E-4</v>
      </c>
      <c r="D166" s="1190">
        <f t="shared" ref="D166:L166" si="32">D149/D$161</f>
        <v>-9.7361430763670265E-2</v>
      </c>
      <c r="E166" s="1190">
        <f t="shared" si="32"/>
        <v>3.9092066052785972E-2</v>
      </c>
      <c r="F166" s="1190">
        <f t="shared" si="32"/>
        <v>1.9756560894764214E-2</v>
      </c>
      <c r="G166" s="1190">
        <f t="shared" si="32"/>
        <v>-7.0734083882041124E-2</v>
      </c>
      <c r="H166" s="1190">
        <f t="shared" si="32"/>
        <v>7.2493893801191298E-2</v>
      </c>
      <c r="I166" s="1190">
        <f t="shared" si="32"/>
        <v>4.7392190130543292E-2</v>
      </c>
      <c r="J166" s="1190">
        <f t="shared" si="32"/>
        <v>1.2779033406525758E-2</v>
      </c>
      <c r="K166" s="1190">
        <f t="shared" si="32"/>
        <v>-3.670036926656247E-2</v>
      </c>
      <c r="L166" s="1190">
        <f t="shared" si="32"/>
        <v>4.5954573560148025E-3</v>
      </c>
      <c r="M166" s="1183"/>
    </row>
    <row r="167" spans="1:13" s="476" customFormat="1" ht="13">
      <c r="A167" s="572">
        <f t="shared" ref="A167:A177" si="33">A166+1</f>
        <v>94</v>
      </c>
      <c r="B167" s="731" t="s">
        <v>2596</v>
      </c>
      <c r="C167" s="1190">
        <f t="shared" ref="C167:L177" si="34">C150/C$161</f>
        <v>5.4118825517199434E-15</v>
      </c>
      <c r="D167" s="1190">
        <f t="shared" si="34"/>
        <v>4.5283934156472173E-2</v>
      </c>
      <c r="E167" s="1190">
        <f t="shared" si="34"/>
        <v>6.7148553511805237E-2</v>
      </c>
      <c r="F167" s="1190">
        <f t="shared" si="34"/>
        <v>6.2775153948594676E-4</v>
      </c>
      <c r="G167" s="1190">
        <f t="shared" si="34"/>
        <v>9.004947288819995E-3</v>
      </c>
      <c r="H167" s="1190">
        <f t="shared" si="34"/>
        <v>0.12591814997419998</v>
      </c>
      <c r="I167" s="1190">
        <f t="shared" si="34"/>
        <v>3.3012077620900187E-3</v>
      </c>
      <c r="J167" s="1190">
        <f t="shared" si="34"/>
        <v>-5.5159764268239986E-3</v>
      </c>
      <c r="K167" s="1190">
        <f t="shared" si="34"/>
        <v>6.5028370494933957E-2</v>
      </c>
      <c r="L167" s="1190">
        <f t="shared" si="34"/>
        <v>3.0177195096911E-2</v>
      </c>
      <c r="M167" s="1183"/>
    </row>
    <row r="168" spans="1:13" s="476" customFormat="1" ht="13">
      <c r="A168" s="572">
        <f t="shared" si="33"/>
        <v>95</v>
      </c>
      <c r="B168" s="731" t="s">
        <v>2597</v>
      </c>
      <c r="C168" s="1190">
        <f t="shared" si="34"/>
        <v>0</v>
      </c>
      <c r="D168" s="1190">
        <f t="shared" si="34"/>
        <v>7.6066357979159546E-2</v>
      </c>
      <c r="E168" s="1190">
        <f t="shared" si="34"/>
        <v>0.10908014912560157</v>
      </c>
      <c r="F168" s="1190">
        <f t="shared" si="34"/>
        <v>6.7670150126017112E-2</v>
      </c>
      <c r="G168" s="1190">
        <f t="shared" si="34"/>
        <v>0.11621308462579481</v>
      </c>
      <c r="H168" s="1190">
        <f t="shared" si="34"/>
        <v>0.13710750555002885</v>
      </c>
      <c r="I168" s="1190">
        <f t="shared" si="34"/>
        <v>1.1659351827088002E-2</v>
      </c>
      <c r="J168" s="1190">
        <f t="shared" si="34"/>
        <v>1.4945039799378399</v>
      </c>
      <c r="K168" s="1190">
        <f t="shared" si="34"/>
        <v>1.2688219258016615</v>
      </c>
      <c r="L168" s="1190">
        <f t="shared" si="34"/>
        <v>3.6715920819669809E-3</v>
      </c>
      <c r="M168" s="1183"/>
    </row>
    <row r="169" spans="1:13" s="476" customFormat="1" ht="13">
      <c r="A169" s="572">
        <f t="shared" si="33"/>
        <v>96</v>
      </c>
      <c r="B169" s="732" t="s">
        <v>2598</v>
      </c>
      <c r="C169" s="1190">
        <f t="shared" si="34"/>
        <v>5.2259072793473582E-2</v>
      </c>
      <c r="D169" s="1190">
        <f t="shared" si="34"/>
        <v>-9.6042822354992383E-2</v>
      </c>
      <c r="E169" s="1190">
        <f t="shared" si="34"/>
        <v>3.5533240743481766E-3</v>
      </c>
      <c r="F169" s="1190">
        <f t="shared" si="34"/>
        <v>7.3626988228360404E-2</v>
      </c>
      <c r="G169" s="1190">
        <f t="shared" si="34"/>
        <v>0.121693607515071</v>
      </c>
      <c r="H169" s="1190">
        <f t="shared" si="34"/>
        <v>7.0777338482083424E-2</v>
      </c>
      <c r="I169" s="1190">
        <f t="shared" si="34"/>
        <v>0.18469093242746426</v>
      </c>
      <c r="J169" s="1190">
        <f t="shared" si="34"/>
        <v>3.2934302945817173E-2</v>
      </c>
      <c r="K169" s="1190">
        <f t="shared" si="34"/>
        <v>1.8436561385442245E-2</v>
      </c>
      <c r="L169" s="1190">
        <f t="shared" si="34"/>
        <v>5.450430188119397E-2</v>
      </c>
      <c r="M169" s="1183"/>
    </row>
    <row r="170" spans="1:13" s="476" customFormat="1" ht="13">
      <c r="A170" s="572">
        <f t="shared" si="33"/>
        <v>97</v>
      </c>
      <c r="B170" s="731" t="s">
        <v>2599</v>
      </c>
      <c r="C170" s="1190">
        <f t="shared" si="34"/>
        <v>3.0405654579980174E-3</v>
      </c>
      <c r="D170" s="1190">
        <f t="shared" si="34"/>
        <v>7.6392131821346881E-2</v>
      </c>
      <c r="E170" s="1190">
        <f t="shared" si="34"/>
        <v>7.4813303538407427E-2</v>
      </c>
      <c r="F170" s="1190">
        <f t="shared" si="34"/>
        <v>0.14687132115663745</v>
      </c>
      <c r="G170" s="1190">
        <f t="shared" si="34"/>
        <v>3.0594531336226999E-2</v>
      </c>
      <c r="H170" s="1190">
        <f t="shared" si="34"/>
        <v>7.2571035475635523E-2</v>
      </c>
      <c r="I170" s="1190">
        <f t="shared" si="34"/>
        <v>0.25564017095437985</v>
      </c>
      <c r="J170" s="1190">
        <f t="shared" si="34"/>
        <v>0.62423704855922169</v>
      </c>
      <c r="K170" s="1190">
        <f t="shared" si="34"/>
        <v>0.2782749795330739</v>
      </c>
      <c r="L170" s="1190">
        <f t="shared" si="34"/>
        <v>0.45596828988740096</v>
      </c>
      <c r="M170" s="1183"/>
    </row>
    <row r="171" spans="1:13" s="476" customFormat="1" ht="13">
      <c r="A171" s="572">
        <f t="shared" si="33"/>
        <v>98</v>
      </c>
      <c r="B171" s="731" t="s">
        <v>2600</v>
      </c>
      <c r="C171" s="1190">
        <f t="shared" si="34"/>
        <v>-9.984181537333308E-4</v>
      </c>
      <c r="D171" s="1190">
        <f t="shared" si="34"/>
        <v>0.30553219760206346</v>
      </c>
      <c r="E171" s="1190">
        <f t="shared" si="34"/>
        <v>9.686090592991586E-3</v>
      </c>
      <c r="F171" s="1190">
        <f t="shared" si="34"/>
        <v>2.5119736001023761E-2</v>
      </c>
      <c r="G171" s="1190">
        <f t="shared" si="34"/>
        <v>0.12546653445370501</v>
      </c>
      <c r="H171" s="1190">
        <f t="shared" si="34"/>
        <v>7.1515053258186537E-2</v>
      </c>
      <c r="I171" s="1190">
        <f t="shared" si="34"/>
        <v>9.7264485164148456E-2</v>
      </c>
      <c r="J171" s="1190">
        <f t="shared" si="34"/>
        <v>-2.776183076238119</v>
      </c>
      <c r="K171" s="1190">
        <f t="shared" si="34"/>
        <v>-1.379971864659872</v>
      </c>
      <c r="L171" s="1190">
        <f t="shared" si="34"/>
        <v>-1.9249288257515858E-3</v>
      </c>
      <c r="M171" s="1183"/>
    </row>
    <row r="172" spans="1:13" s="476" customFormat="1" ht="13">
      <c r="A172" s="572">
        <f t="shared" si="33"/>
        <v>99</v>
      </c>
      <c r="B172" s="732" t="s">
        <v>2601</v>
      </c>
      <c r="C172" s="1190">
        <f t="shared" si="34"/>
        <v>0</v>
      </c>
      <c r="D172" s="1190">
        <f t="shared" si="34"/>
        <v>0.15663600565115707</v>
      </c>
      <c r="E172" s="1190">
        <f t="shared" si="34"/>
        <v>7.3961589470693092E-3</v>
      </c>
      <c r="F172" s="1190">
        <f t="shared" si="34"/>
        <v>2.5347936475558757E-2</v>
      </c>
      <c r="G172" s="1190">
        <f t="shared" si="34"/>
        <v>4.1484885280788406E-2</v>
      </c>
      <c r="H172" s="1190">
        <f t="shared" si="34"/>
        <v>8.0119361793761057E-2</v>
      </c>
      <c r="I172" s="1190">
        <f t="shared" si="34"/>
        <v>1.4921103568743068E-2</v>
      </c>
      <c r="J172" s="1190">
        <f t="shared" si="34"/>
        <v>0.60373430770611247</v>
      </c>
      <c r="K172" s="1190">
        <f t="shared" si="34"/>
        <v>-0.71388015015986239</v>
      </c>
      <c r="L172" s="1190">
        <f t="shared" si="34"/>
        <v>2.108716602518549E-3</v>
      </c>
      <c r="M172" s="1183"/>
    </row>
    <row r="173" spans="1:13" s="476" customFormat="1" ht="13">
      <c r="A173" s="572">
        <f t="shared" si="33"/>
        <v>100</v>
      </c>
      <c r="B173" s="731" t="s">
        <v>2602</v>
      </c>
      <c r="C173" s="1190">
        <f t="shared" si="34"/>
        <v>0</v>
      </c>
      <c r="D173" s="1190">
        <f t="shared" si="34"/>
        <v>4.6839657844687134E-4</v>
      </c>
      <c r="E173" s="1190">
        <f t="shared" si="34"/>
        <v>0.23079294227325831</v>
      </c>
      <c r="F173" s="1190">
        <f t="shared" si="34"/>
        <v>0.14639379102960479</v>
      </c>
      <c r="G173" s="1190">
        <f t="shared" si="34"/>
        <v>6.5987198358731139E-2</v>
      </c>
      <c r="H173" s="1190">
        <f t="shared" si="34"/>
        <v>4.5774148602250375E-2</v>
      </c>
      <c r="I173" s="1190">
        <f t="shared" si="34"/>
        <v>-1.4085417533429123E-2</v>
      </c>
      <c r="J173" s="1190">
        <f t="shared" si="34"/>
        <v>2.1073405520642891E-4</v>
      </c>
      <c r="K173" s="1190">
        <f t="shared" si="34"/>
        <v>0.79862369828990631</v>
      </c>
      <c r="L173" s="1190">
        <f t="shared" si="34"/>
        <v>4.0874869491382945E-4</v>
      </c>
      <c r="M173" s="1183"/>
    </row>
    <row r="174" spans="1:13" s="476" customFormat="1" ht="13">
      <c r="A174" s="572">
        <f t="shared" si="33"/>
        <v>101</v>
      </c>
      <c r="B174" s="731" t="s">
        <v>2603</v>
      </c>
      <c r="C174" s="1190">
        <f t="shared" si="34"/>
        <v>5.3530606285733255E-4</v>
      </c>
      <c r="D174" s="1190">
        <f t="shared" si="34"/>
        <v>0.24260724085058696</v>
      </c>
      <c r="E174" s="1190">
        <f t="shared" si="34"/>
        <v>2.0337457085401588E-2</v>
      </c>
      <c r="F174" s="1190">
        <f t="shared" si="34"/>
        <v>3.5051085341818056E-2</v>
      </c>
      <c r="G174" s="1190">
        <f t="shared" si="34"/>
        <v>0.43353980563093547</v>
      </c>
      <c r="H174" s="1190">
        <f t="shared" si="34"/>
        <v>5.5155073727196087E-2</v>
      </c>
      <c r="I174" s="1190">
        <f t="shared" si="34"/>
        <v>0.10278649060546297</v>
      </c>
      <c r="J174" s="1190">
        <f t="shared" si="34"/>
        <v>0.1134095070231257</v>
      </c>
      <c r="K174" s="1190">
        <f t="shared" si="34"/>
        <v>0.47047863591321148</v>
      </c>
      <c r="L174" s="1190">
        <f t="shared" si="34"/>
        <v>2.9377343339030602E-3</v>
      </c>
      <c r="M174" s="1183"/>
    </row>
    <row r="175" spans="1:13" s="476" customFormat="1" ht="13">
      <c r="A175" s="572">
        <f t="shared" si="33"/>
        <v>102</v>
      </c>
      <c r="B175" s="732" t="s">
        <v>2604</v>
      </c>
      <c r="C175" s="1190">
        <f t="shared" si="34"/>
        <v>-3.6365743102345584E-4</v>
      </c>
      <c r="D175" s="1190">
        <f t="shared" si="34"/>
        <v>5.5958762008581856E-3</v>
      </c>
      <c r="E175" s="1190">
        <f t="shared" si="34"/>
        <v>9.8135609677893754E-3</v>
      </c>
      <c r="F175" s="1190">
        <f t="shared" si="34"/>
        <v>4.5596201214495639E-2</v>
      </c>
      <c r="G175" s="1190">
        <f t="shared" si="34"/>
        <v>3.6917550394938187E-2</v>
      </c>
      <c r="H175" s="1190">
        <f t="shared" si="34"/>
        <v>7.2228416898204237E-2</v>
      </c>
      <c r="I175" s="1190">
        <f t="shared" si="34"/>
        <v>0.27994803317675698</v>
      </c>
      <c r="J175" s="1190">
        <f t="shared" si="34"/>
        <v>0.33355476042933146</v>
      </c>
      <c r="K175" s="1190">
        <f t="shared" si="34"/>
        <v>0.23447317331272649</v>
      </c>
      <c r="L175" s="1190">
        <f t="shared" si="34"/>
        <v>0.12703848693265535</v>
      </c>
      <c r="M175" s="1183"/>
    </row>
    <row r="176" spans="1:13" s="476" customFormat="1" ht="13">
      <c r="A176" s="572">
        <f t="shared" si="33"/>
        <v>103</v>
      </c>
      <c r="B176" s="732" t="s">
        <v>2605</v>
      </c>
      <c r="C176" s="1190">
        <f t="shared" si="34"/>
        <v>0.94672141525112841</v>
      </c>
      <c r="D176" s="1190">
        <f t="shared" si="34"/>
        <v>-2.8974557995447934E-2</v>
      </c>
      <c r="E176" s="1190">
        <f t="shared" si="34"/>
        <v>-1.7118924302309754E-3</v>
      </c>
      <c r="F176" s="1190">
        <f t="shared" si="34"/>
        <v>4.8456388949455781E-2</v>
      </c>
      <c r="G176" s="1190">
        <f t="shared" si="34"/>
        <v>4.3124750026225435E-2</v>
      </c>
      <c r="H176" s="1190">
        <f t="shared" si="34"/>
        <v>8.0099089659661227E-2</v>
      </c>
      <c r="I176" s="1190">
        <f t="shared" si="34"/>
        <v>2.338455996085255E-2</v>
      </c>
      <c r="J176" s="1190">
        <f t="shared" si="34"/>
        <v>1.9183401024846124E-2</v>
      </c>
      <c r="K176" s="1190">
        <f t="shared" si="34"/>
        <v>3.1424860001533356E-2</v>
      </c>
      <c r="L176" s="1190">
        <f t="shared" si="34"/>
        <v>0.30286174040609265</v>
      </c>
      <c r="M176" s="1183"/>
    </row>
    <row r="177" spans="1:13" s="476" customFormat="1" ht="13">
      <c r="A177" s="572">
        <f t="shared" si="33"/>
        <v>104</v>
      </c>
      <c r="B177" s="731" t="s">
        <v>2606</v>
      </c>
      <c r="C177" s="1190">
        <f t="shared" si="34"/>
        <v>-9.2684886044791081E-4</v>
      </c>
      <c r="D177" s="1190">
        <f t="shared" si="34"/>
        <v>0.31379667027401942</v>
      </c>
      <c r="E177" s="1190">
        <f t="shared" si="34"/>
        <v>0.42999828626077241</v>
      </c>
      <c r="F177" s="1190">
        <f t="shared" si="34"/>
        <v>0.36548208904277807</v>
      </c>
      <c r="G177" s="1190">
        <f t="shared" si="34"/>
        <v>4.6707188970804669E-2</v>
      </c>
      <c r="H177" s="1190">
        <f t="shared" si="34"/>
        <v>0.11624093277760139</v>
      </c>
      <c r="I177" s="1190">
        <f t="shared" si="34"/>
        <v>-6.9031080441003603E-3</v>
      </c>
      <c r="J177" s="1190">
        <f t="shared" si="34"/>
        <v>0.54715197757691625</v>
      </c>
      <c r="K177" s="1190">
        <f t="shared" si="34"/>
        <v>-3.5009820646192388E-2</v>
      </c>
      <c r="L177" s="1190">
        <f t="shared" si="34"/>
        <v>1.7652665552180424E-2</v>
      </c>
      <c r="M177" s="1183"/>
    </row>
    <row r="179" spans="1:13" ht="13">
      <c r="B179" s="1" t="s">
        <v>1533</v>
      </c>
    </row>
    <row r="180" spans="1:13">
      <c r="B180" s="480" t="s">
        <v>2364</v>
      </c>
    </row>
    <row r="181" spans="1:13" ht="13">
      <c r="B181" s="16"/>
      <c r="C181" s="84">
        <v>350.1</v>
      </c>
      <c r="D181" s="84">
        <v>350.2</v>
      </c>
      <c r="E181" s="84">
        <v>352</v>
      </c>
      <c r="F181" s="84">
        <v>353</v>
      </c>
      <c r="G181" s="84">
        <v>354</v>
      </c>
      <c r="H181" s="84">
        <v>355</v>
      </c>
      <c r="I181" s="84">
        <v>356</v>
      </c>
      <c r="J181" s="84">
        <v>357</v>
      </c>
      <c r="K181" s="84">
        <v>358</v>
      </c>
      <c r="L181" s="84">
        <v>359</v>
      </c>
      <c r="M181" s="3" t="s">
        <v>196</v>
      </c>
    </row>
    <row r="182" spans="1:13" ht="13">
      <c r="A182" s="572">
        <f>A177+1</f>
        <v>105</v>
      </c>
      <c r="B182" s="16"/>
      <c r="C182" s="7">
        <f t="shared" ref="C182:M182" si="35">C23-C11</f>
        <v>1370259.3707255274</v>
      </c>
      <c r="D182" s="7">
        <f t="shared" si="35"/>
        <v>470619.14158222079</v>
      </c>
      <c r="E182" s="7">
        <f t="shared" si="35"/>
        <v>97555261.284875631</v>
      </c>
      <c r="F182" s="7">
        <f t="shared" si="35"/>
        <v>255170602.64577246</v>
      </c>
      <c r="G182" s="7">
        <f t="shared" si="35"/>
        <v>20414982.796180248</v>
      </c>
      <c r="H182" s="7">
        <f t="shared" si="35"/>
        <v>21458728.125070572</v>
      </c>
      <c r="I182" s="7">
        <f t="shared" si="35"/>
        <v>96503828.565033674</v>
      </c>
      <c r="J182" s="7">
        <f t="shared" si="35"/>
        <v>24477499.526364118</v>
      </c>
      <c r="K182" s="7">
        <f t="shared" si="35"/>
        <v>-24737653.393757269</v>
      </c>
      <c r="L182" s="7">
        <f t="shared" si="35"/>
        <v>5367995.4930346608</v>
      </c>
      <c r="M182" s="7">
        <f t="shared" si="35"/>
        <v>498052123.55488014</v>
      </c>
    </row>
    <row r="183" spans="1:13">
      <c r="B183" s="16"/>
      <c r="C183" s="7"/>
      <c r="D183" s="7"/>
      <c r="E183" s="7"/>
      <c r="F183" s="7"/>
      <c r="G183" s="7"/>
      <c r="H183" s="7"/>
      <c r="I183" s="7"/>
      <c r="J183" s="7"/>
      <c r="K183" s="7"/>
      <c r="L183" s="7"/>
      <c r="M183" s="7"/>
    </row>
    <row r="184" spans="1:13">
      <c r="B184" s="480" t="s">
        <v>2365</v>
      </c>
      <c r="C184" s="7"/>
      <c r="D184" s="7"/>
      <c r="E184" s="7"/>
      <c r="F184" s="7"/>
      <c r="G184" s="7"/>
      <c r="H184" s="7"/>
      <c r="I184" s="7"/>
      <c r="J184" s="7"/>
      <c r="K184" s="7"/>
      <c r="L184" s="7"/>
      <c r="M184" s="7"/>
    </row>
    <row r="185" spans="1:13" ht="13">
      <c r="B185" s="16"/>
      <c r="C185" s="84">
        <v>350.1</v>
      </c>
      <c r="D185" s="84">
        <v>350.2</v>
      </c>
      <c r="E185" s="84">
        <v>352</v>
      </c>
      <c r="F185" s="84">
        <v>353</v>
      </c>
      <c r="G185" s="84">
        <v>354</v>
      </c>
      <c r="H185" s="84">
        <v>355</v>
      </c>
      <c r="I185" s="84">
        <v>356</v>
      </c>
      <c r="J185" s="84">
        <v>357</v>
      </c>
      <c r="K185" s="84">
        <v>358</v>
      </c>
      <c r="L185" s="84">
        <v>359</v>
      </c>
      <c r="M185" s="3" t="s">
        <v>196</v>
      </c>
    </row>
    <row r="186" spans="1:13" ht="13">
      <c r="A186" s="572">
        <f>A182+1</f>
        <v>106</v>
      </c>
      <c r="B186" s="16"/>
      <c r="C186" s="7">
        <f>C142</f>
        <v>230777.11999999359</v>
      </c>
      <c r="D186" s="7">
        <f t="shared" ref="D186:M186" si="36">D142</f>
        <v>12647.819999992847</v>
      </c>
      <c r="E186" s="7">
        <f t="shared" si="36"/>
        <v>38952095.61134398</v>
      </c>
      <c r="F186" s="7">
        <f t="shared" si="36"/>
        <v>101922377.96986818</v>
      </c>
      <c r="G186" s="7">
        <f t="shared" si="36"/>
        <v>-8992400.0699994564</v>
      </c>
      <c r="H186" s="7">
        <f t="shared" si="36"/>
        <v>6913810.4900000393</v>
      </c>
      <c r="I186" s="7">
        <f t="shared" si="36"/>
        <v>9582198.1599999666</v>
      </c>
      <c r="J186" s="7">
        <f t="shared" si="36"/>
        <v>24477003.230000019</v>
      </c>
      <c r="K186" s="7">
        <f t="shared" si="36"/>
        <v>-24735220.949999988</v>
      </c>
      <c r="L186" s="7">
        <f t="shared" si="36"/>
        <v>3354651.8000000119</v>
      </c>
      <c r="M186" s="7">
        <f t="shared" si="36"/>
        <v>151717941.18121272</v>
      </c>
    </row>
    <row r="187" spans="1:13">
      <c r="B187" s="16"/>
      <c r="C187" s="7"/>
      <c r="D187" s="7"/>
      <c r="E187" s="7"/>
      <c r="F187" s="7"/>
      <c r="G187" s="7"/>
      <c r="H187" s="7"/>
      <c r="I187" s="7"/>
      <c r="J187" s="7"/>
      <c r="K187" s="7"/>
      <c r="L187" s="7"/>
      <c r="M187" s="7"/>
    </row>
    <row r="188" spans="1:13">
      <c r="B188" s="480" t="s">
        <v>2366</v>
      </c>
      <c r="C188" s="7"/>
      <c r="D188" s="7"/>
      <c r="E188" s="7"/>
      <c r="F188" s="7"/>
      <c r="G188" s="7"/>
      <c r="H188" s="7"/>
      <c r="I188" s="7"/>
      <c r="J188" s="7"/>
      <c r="K188" s="7"/>
      <c r="L188" s="7"/>
      <c r="M188" s="7"/>
    </row>
    <row r="189" spans="1:13" ht="13">
      <c r="C189" s="84">
        <v>350.1</v>
      </c>
      <c r="D189" s="84">
        <v>350.2</v>
      </c>
      <c r="E189" s="84">
        <v>352</v>
      </c>
      <c r="F189" s="84">
        <v>353</v>
      </c>
      <c r="G189" s="84">
        <v>354</v>
      </c>
      <c r="H189" s="84">
        <v>355</v>
      </c>
      <c r="I189" s="84">
        <v>356</v>
      </c>
      <c r="J189" s="84">
        <v>357</v>
      </c>
      <c r="K189" s="84">
        <v>358</v>
      </c>
      <c r="L189" s="84">
        <v>359</v>
      </c>
      <c r="M189" s="3" t="s">
        <v>196</v>
      </c>
    </row>
    <row r="190" spans="1:13" ht="13">
      <c r="A190" s="572">
        <f>A186+1</f>
        <v>107</v>
      </c>
      <c r="C190" s="7">
        <f>C182-C186</f>
        <v>1139482.2507255338</v>
      </c>
      <c r="D190" s="7">
        <f t="shared" ref="D190:M190" si="37">D182-D186</f>
        <v>457971.32158222795</v>
      </c>
      <c r="E190" s="7">
        <f t="shared" si="37"/>
        <v>58603165.673531651</v>
      </c>
      <c r="F190" s="7">
        <f t="shared" si="37"/>
        <v>153248224.67590427</v>
      </c>
      <c r="G190" s="7">
        <f t="shared" si="37"/>
        <v>29407382.866179705</v>
      </c>
      <c r="H190" s="7">
        <f t="shared" si="37"/>
        <v>14544917.635070533</v>
      </c>
      <c r="I190" s="7">
        <f t="shared" si="37"/>
        <v>86921630.405033708</v>
      </c>
      <c r="J190" s="7">
        <f t="shared" si="37"/>
        <v>496.29636409878731</v>
      </c>
      <c r="K190" s="7">
        <f t="shared" si="37"/>
        <v>-2432.4437572807074</v>
      </c>
      <c r="L190" s="7">
        <f t="shared" si="37"/>
        <v>2013343.6930346489</v>
      </c>
      <c r="M190" s="7">
        <f t="shared" si="37"/>
        <v>346334182.37366742</v>
      </c>
    </row>
    <row r="192" spans="1:13" ht="13">
      <c r="B192" s="44" t="s">
        <v>2367</v>
      </c>
      <c r="C192" s="14"/>
      <c r="D192" s="14"/>
      <c r="E192" s="14"/>
      <c r="F192" s="14"/>
      <c r="G192" s="14"/>
    </row>
    <row r="193" spans="1:13" ht="13">
      <c r="A193" s="394"/>
      <c r="B193" s="358" t="s">
        <v>359</v>
      </c>
      <c r="C193" s="358" t="s">
        <v>343</v>
      </c>
      <c r="D193" s="358" t="s">
        <v>344</v>
      </c>
      <c r="E193" s="358" t="s">
        <v>345</v>
      </c>
      <c r="F193" s="358" t="s">
        <v>346</v>
      </c>
      <c r="G193" s="358" t="s">
        <v>347</v>
      </c>
      <c r="H193" s="84" t="s">
        <v>348</v>
      </c>
      <c r="I193" s="84" t="s">
        <v>537</v>
      </c>
      <c r="J193" s="84" t="s">
        <v>954</v>
      </c>
      <c r="K193" s="84" t="s">
        <v>967</v>
      </c>
      <c r="L193" s="84" t="s">
        <v>970</v>
      </c>
      <c r="M193" s="84" t="s">
        <v>988</v>
      </c>
    </row>
    <row r="194" spans="1:13" ht="13">
      <c r="A194" s="230"/>
      <c r="B194" s="452"/>
      <c r="C194" s="239"/>
      <c r="D194" s="239"/>
      <c r="E194" s="239"/>
      <c r="F194" s="516"/>
      <c r="G194" s="239"/>
      <c r="H194" s="230"/>
      <c r="I194" s="230"/>
      <c r="J194" s="230"/>
      <c r="K194" s="230"/>
      <c r="L194" s="230"/>
      <c r="M194" s="247" t="s">
        <v>1220</v>
      </c>
    </row>
    <row r="195" spans="1:13" ht="13">
      <c r="A195" s="230"/>
      <c r="B195" s="109"/>
      <c r="C195" s="358"/>
      <c r="D195" s="358"/>
      <c r="E195" s="239"/>
      <c r="F195" s="239"/>
      <c r="G195" s="239"/>
      <c r="H195" s="230"/>
      <c r="I195" s="230"/>
      <c r="J195" s="230"/>
      <c r="K195" s="230"/>
      <c r="L195" s="230"/>
    </row>
    <row r="196" spans="1:13" ht="13">
      <c r="A196" s="51"/>
      <c r="B196" s="123" t="s">
        <v>1760</v>
      </c>
      <c r="C196" s="358">
        <v>350.1</v>
      </c>
      <c r="D196" s="358">
        <v>350.2</v>
      </c>
      <c r="E196" s="358">
        <v>352</v>
      </c>
      <c r="F196" s="358">
        <v>353</v>
      </c>
      <c r="G196" s="358">
        <v>354</v>
      </c>
      <c r="H196" s="84">
        <v>355</v>
      </c>
      <c r="I196" s="84">
        <v>356</v>
      </c>
      <c r="J196" s="84">
        <v>357</v>
      </c>
      <c r="K196" s="84">
        <v>358</v>
      </c>
      <c r="L196" s="84">
        <v>359</v>
      </c>
      <c r="M196" s="3" t="s">
        <v>196</v>
      </c>
    </row>
    <row r="197" spans="1:13" ht="13">
      <c r="A197" s="572">
        <f>A190+1</f>
        <v>108</v>
      </c>
      <c r="B197" s="732" t="s">
        <v>2607</v>
      </c>
      <c r="C197" s="490">
        <f>C$190*C166</f>
        <v>-304.73757275474856</v>
      </c>
      <c r="D197" s="490">
        <f t="shared" ref="D197:L197" si="38">D$190*D166</f>
        <v>-44588.743117974656</v>
      </c>
      <c r="E197" s="490">
        <f t="shared" si="38"/>
        <v>2290918.8234120589</v>
      </c>
      <c r="F197" s="490">
        <f t="shared" si="38"/>
        <v>3027657.8828240107</v>
      </c>
      <c r="G197" s="490">
        <f t="shared" si="38"/>
        <v>-2080104.2864076542</v>
      </c>
      <c r="H197" s="490">
        <f t="shared" si="38"/>
        <v>1054417.7143838776</v>
      </c>
      <c r="I197" s="490">
        <f t="shared" si="38"/>
        <v>4119406.4346121703</v>
      </c>
      <c r="J197" s="490">
        <f t="shared" si="38"/>
        <v>6.3421878163556737</v>
      </c>
      <c r="K197" s="490">
        <f t="shared" si="38"/>
        <v>89.271584112346616</v>
      </c>
      <c r="L197" s="490">
        <f t="shared" si="38"/>
        <v>9252.2350843420863</v>
      </c>
      <c r="M197" s="490">
        <f>SUM(C197:L197)</f>
        <v>8376750.936990004</v>
      </c>
    </row>
    <row r="198" spans="1:13" ht="13">
      <c r="A198" s="572">
        <f t="shared" ref="A198:A209" si="39">A197+1</f>
        <v>109</v>
      </c>
      <c r="B198" s="731" t="s">
        <v>2596</v>
      </c>
      <c r="C198" s="490">
        <f t="shared" ref="C198:L208" si="40">C$190*C167</f>
        <v>6.1667441106960866E-9</v>
      </c>
      <c r="D198" s="490">
        <f t="shared" si="40"/>
        <v>20738.743172082155</v>
      </c>
      <c r="E198" s="490">
        <f t="shared" si="40"/>
        <v>3935117.8061903277</v>
      </c>
      <c r="F198" s="490">
        <f t="shared" si="40"/>
        <v>96201.80896378716</v>
      </c>
      <c r="G198" s="490">
        <f t="shared" si="40"/>
        <v>264811.93261209648</v>
      </c>
      <c r="H198" s="490">
        <f t="shared" si="40"/>
        <v>1831469.1201351974</v>
      </c>
      <c r="I198" s="490">
        <f t="shared" si="40"/>
        <v>286946.36098661704</v>
      </c>
      <c r="J198" s="490">
        <f t="shared" si="40"/>
        <v>-2.7375590450873712</v>
      </c>
      <c r="K198" s="490">
        <f t="shared" si="40"/>
        <v>-158.17785385653906</v>
      </c>
      <c r="L198" s="490">
        <f t="shared" si="40"/>
        <v>60757.065421841893</v>
      </c>
      <c r="M198" s="490">
        <f t="shared" ref="M198:M209" si="41">SUM(C198:L198)</f>
        <v>6495881.922069056</v>
      </c>
    </row>
    <row r="199" spans="1:13" ht="13">
      <c r="A199" s="572">
        <f t="shared" si="39"/>
        <v>110</v>
      </c>
      <c r="B199" s="731" t="s">
        <v>2597</v>
      </c>
      <c r="C199" s="490">
        <f t="shared" si="40"/>
        <v>0</v>
      </c>
      <c r="D199" s="490">
        <f t="shared" si="40"/>
        <v>34836.210491662547</v>
      </c>
      <c r="E199" s="490">
        <f t="shared" si="40"/>
        <v>6392442.050901168</v>
      </c>
      <c r="F199" s="490">
        <f t="shared" si="40"/>
        <v>10370330.370364042</v>
      </c>
      <c r="G199" s="490">
        <f t="shared" si="40"/>
        <v>3417522.6736504906</v>
      </c>
      <c r="H199" s="490">
        <f t="shared" si="40"/>
        <v>1994217.3753751456</v>
      </c>
      <c r="I199" s="490">
        <f t="shared" si="40"/>
        <v>1013449.8702763978</v>
      </c>
      <c r="J199" s="490">
        <f t="shared" si="40"/>
        <v>741.7168913743169</v>
      </c>
      <c r="K199" s="490">
        <f t="shared" si="40"/>
        <v>-3086.3379725171367</v>
      </c>
      <c r="L199" s="490">
        <f t="shared" si="40"/>
        <v>7392.1767616241768</v>
      </c>
      <c r="M199" s="490">
        <f t="shared" si="41"/>
        <v>23227846.106739387</v>
      </c>
    </row>
    <row r="200" spans="1:13" ht="13">
      <c r="A200" s="572">
        <f t="shared" si="39"/>
        <v>111</v>
      </c>
      <c r="B200" s="732" t="s">
        <v>2598</v>
      </c>
      <c r="C200" s="490">
        <f t="shared" si="40"/>
        <v>59548.285887536789</v>
      </c>
      <c r="D200" s="490">
        <f t="shared" si="40"/>
        <v>-43984.858282403009</v>
      </c>
      <c r="E200" s="490">
        <f t="shared" si="40"/>
        <v>208236.0394207747</v>
      </c>
      <c r="F200" s="490">
        <f t="shared" si="40"/>
        <v>11283205.234229935</v>
      </c>
      <c r="G200" s="490">
        <f t="shared" si="40"/>
        <v>3578690.5085622966</v>
      </c>
      <c r="H200" s="490">
        <f t="shared" si="40"/>
        <v>1029450.5586514114</v>
      </c>
      <c r="I200" s="490">
        <f t="shared" si="40"/>
        <v>16053636.967621103</v>
      </c>
      <c r="J200" s="490">
        <f t="shared" si="40"/>
        <v>16.345174806137042</v>
      </c>
      <c r="K200" s="490">
        <f t="shared" si="40"/>
        <v>-44.845898647741535</v>
      </c>
      <c r="L200" s="490">
        <f t="shared" si="40"/>
        <v>109735.89243575843</v>
      </c>
      <c r="M200" s="490">
        <f t="shared" si="41"/>
        <v>32278490.127802569</v>
      </c>
    </row>
    <row r="201" spans="1:13" ht="13">
      <c r="A201" s="572">
        <f t="shared" si="39"/>
        <v>112</v>
      </c>
      <c r="B201" s="731" t="s">
        <v>2599</v>
      </c>
      <c r="C201" s="490">
        <f t="shared" si="40"/>
        <v>3464.6703715578942</v>
      </c>
      <c r="D201" s="490">
        <f t="shared" si="40"/>
        <v>34985.405568706003</v>
      </c>
      <c r="E201" s="490">
        <f t="shared" si="40"/>
        <v>4384296.4218455022</v>
      </c>
      <c r="F201" s="490">
        <f t="shared" si="40"/>
        <v>22507769.223059271</v>
      </c>
      <c r="G201" s="490">
        <f t="shared" si="40"/>
        <v>899705.09661575989</v>
      </c>
      <c r="H201" s="490">
        <f t="shared" si="40"/>
        <v>1055539.7336849004</v>
      </c>
      <c r="I201" s="490">
        <f t="shared" si="40"/>
        <v>22220660.45637624</v>
      </c>
      <c r="J201" s="490">
        <f t="shared" si="40"/>
        <v>309.80657753569989</v>
      </c>
      <c r="K201" s="490">
        <f t="shared" si="40"/>
        <v>-676.88823677264224</v>
      </c>
      <c r="L201" s="490">
        <f t="shared" si="40"/>
        <v>918020.88066859322</v>
      </c>
      <c r="M201" s="490">
        <f t="shared" si="41"/>
        <v>52024074.806531295</v>
      </c>
    </row>
    <row r="202" spans="1:13" ht="13">
      <c r="A202" s="572">
        <f t="shared" si="39"/>
        <v>113</v>
      </c>
      <c r="B202" s="731" t="s">
        <v>2600</v>
      </c>
      <c r="C202" s="490">
        <f t="shared" si="40"/>
        <v>-1137.6797649812879</v>
      </c>
      <c r="D202" s="490">
        <f t="shared" si="40"/>
        <v>139924.98432173941</v>
      </c>
      <c r="E202" s="490">
        <f t="shared" si="40"/>
        <v>567635.57174992235</v>
      </c>
      <c r="F202" s="490">
        <f t="shared" si="40"/>
        <v>3849554.9464842905</v>
      </c>
      <c r="G202" s="490">
        <f t="shared" si="40"/>
        <v>3689642.4155728305</v>
      </c>
      <c r="H202" s="490">
        <f t="shared" si="40"/>
        <v>1040180.5593080057</v>
      </c>
      <c r="I202" s="490">
        <f t="shared" si="40"/>
        <v>8454387.6309739966</v>
      </c>
      <c r="J202" s="490">
        <f t="shared" si="40"/>
        <v>-1377.809566809565</v>
      </c>
      <c r="K202" s="490">
        <f t="shared" si="40"/>
        <v>3356.7039474149228</v>
      </c>
      <c r="L202" s="490">
        <f t="shared" si="40"/>
        <v>-3875.5433108675479</v>
      </c>
      <c r="M202" s="490">
        <f t="shared" si="41"/>
        <v>17738291.779715542</v>
      </c>
    </row>
    <row r="203" spans="1:13" ht="13">
      <c r="A203" s="572">
        <f t="shared" si="39"/>
        <v>114</v>
      </c>
      <c r="B203" s="732" t="s">
        <v>2601</v>
      </c>
      <c r="C203" s="490">
        <f t="shared" si="40"/>
        <v>0</v>
      </c>
      <c r="D203" s="490">
        <f t="shared" si="40"/>
        <v>71734.798515421731</v>
      </c>
      <c r="E203" s="490">
        <f t="shared" si="40"/>
        <v>433438.32812287612</v>
      </c>
      <c r="F203" s="490">
        <f t="shared" si="40"/>
        <v>3884526.2640769775</v>
      </c>
      <c r="G203" s="490">
        <f t="shared" si="40"/>
        <v>1219961.9046116876</v>
      </c>
      <c r="H203" s="490">
        <f t="shared" si="40"/>
        <v>1165329.5182646716</v>
      </c>
      <c r="I203" s="490">
        <f t="shared" si="40"/>
        <v>1296966.6496375145</v>
      </c>
      <c r="J203" s="490">
        <f t="shared" si="40"/>
        <v>299.6311417962421</v>
      </c>
      <c r="K203" s="490">
        <f t="shared" si="40"/>
        <v>1736.4733147029713</v>
      </c>
      <c r="L203" s="490">
        <f t="shared" si="40"/>
        <v>4245.571272078173</v>
      </c>
      <c r="M203" s="490">
        <f t="shared" si="41"/>
        <v>8078239.1389577258</v>
      </c>
    </row>
    <row r="204" spans="1:13" ht="13">
      <c r="A204" s="572">
        <f t="shared" si="39"/>
        <v>115</v>
      </c>
      <c r="B204" s="731" t="s">
        <v>2602</v>
      </c>
      <c r="C204" s="490">
        <f t="shared" si="40"/>
        <v>0</v>
      </c>
      <c r="D204" s="490">
        <f t="shared" si="40"/>
        <v>214.51220005590739</v>
      </c>
      <c r="E204" s="490">
        <f t="shared" si="40"/>
        <v>13525197.032321583</v>
      </c>
      <c r="F204" s="490">
        <f t="shared" si="40"/>
        <v>22434588.578862254</v>
      </c>
      <c r="G204" s="490">
        <f t="shared" si="40"/>
        <v>1940510.8064017517</v>
      </c>
      <c r="H204" s="490">
        <f t="shared" si="40"/>
        <v>665781.22123521066</v>
      </c>
      <c r="I204" s="490">
        <f t="shared" si="40"/>
        <v>-1224327.4569413078</v>
      </c>
      <c r="J204" s="490">
        <f t="shared" si="40"/>
        <v>0.10458654539074379</v>
      </c>
      <c r="K204" s="490">
        <f t="shared" si="40"/>
        <v>-1942.6072293217137</v>
      </c>
      <c r="L204" s="490">
        <f t="shared" si="40"/>
        <v>822.95160694090237</v>
      </c>
      <c r="M204" s="490">
        <f t="shared" si="41"/>
        <v>37340845.143043719</v>
      </c>
    </row>
    <row r="205" spans="1:13" ht="13">
      <c r="A205" s="572">
        <f t="shared" si="39"/>
        <v>116</v>
      </c>
      <c r="B205" s="731" t="s">
        <v>2603</v>
      </c>
      <c r="C205" s="490">
        <f t="shared" si="40"/>
        <v>609.9717573316974</v>
      </c>
      <c r="D205" s="490">
        <f t="shared" si="40"/>
        <v>111107.15871776119</v>
      </c>
      <c r="E205" s="490">
        <f t="shared" si="40"/>
        <v>1191839.3669541294</v>
      </c>
      <c r="F205" s="490">
        <f t="shared" si="40"/>
        <v>5371516.6015972281</v>
      </c>
      <c r="G205" s="490">
        <f t="shared" si="40"/>
        <v>12749271.051918052</v>
      </c>
      <c r="H205" s="490">
        <f t="shared" si="40"/>
        <v>802226.00451830972</v>
      </c>
      <c r="I205" s="490">
        <f t="shared" si="40"/>
        <v>8934369.3470385205</v>
      </c>
      <c r="J205" s="490">
        <f t="shared" si="40"/>
        <v>56.284725989813168</v>
      </c>
      <c r="K205" s="490">
        <f t="shared" si="40"/>
        <v>-1144.4128208610341</v>
      </c>
      <c r="L205" s="490">
        <f t="shared" si="40"/>
        <v>5914.6688929750717</v>
      </c>
      <c r="M205" s="490">
        <f t="shared" si="41"/>
        <v>29165766.043299437</v>
      </c>
    </row>
    <row r="206" spans="1:13" ht="13">
      <c r="A206" s="572">
        <f t="shared" si="39"/>
        <v>117</v>
      </c>
      <c r="B206" s="732" t="s">
        <v>2604</v>
      </c>
      <c r="C206" s="490">
        <f t="shared" si="40"/>
        <v>-414.38118799567303</v>
      </c>
      <c r="D206" s="490">
        <f t="shared" si="40"/>
        <v>2562.7508191175602</v>
      </c>
      <c r="E206" s="490">
        <f t="shared" si="40"/>
        <v>575105.73924266442</v>
      </c>
      <c r="F206" s="490">
        <f t="shared" si="40"/>
        <v>6987536.8880867669</v>
      </c>
      <c r="G206" s="490">
        <f t="shared" si="40"/>
        <v>1085648.5389454311</v>
      </c>
      <c r="H206" s="490">
        <f t="shared" si="40"/>
        <v>1050556.3746959174</v>
      </c>
      <c r="I206" s="490">
        <f t="shared" si="40"/>
        <v>24333539.472406186</v>
      </c>
      <c r="J206" s="490">
        <f t="shared" si="40"/>
        <v>165.54201482891926</v>
      </c>
      <c r="K206" s="490">
        <f t="shared" si="40"/>
        <v>-570.34280667433893</v>
      </c>
      <c r="L206" s="490">
        <f t="shared" si="40"/>
        <v>255772.1364385263</v>
      </c>
      <c r="M206" s="490">
        <f t="shared" si="41"/>
        <v>34289902.718654774</v>
      </c>
    </row>
    <row r="207" spans="1:13" ht="13">
      <c r="A207" s="572">
        <f t="shared" si="39"/>
        <v>118</v>
      </c>
      <c r="B207" s="732" t="s">
        <v>2605</v>
      </c>
      <c r="C207" s="490">
        <f t="shared" si="40"/>
        <v>1078772.2490604185</v>
      </c>
      <c r="D207" s="490">
        <f t="shared" si="40"/>
        <v>-13269.5166174362</v>
      </c>
      <c r="E207" s="490">
        <f t="shared" si="40"/>
        <v>-100322.31570409058</v>
      </c>
      <c r="F207" s="490">
        <f t="shared" si="40"/>
        <v>7425855.580709205</v>
      </c>
      <c r="G207" s="490">
        <f t="shared" si="40"/>
        <v>1268186.0350295047</v>
      </c>
      <c r="H207" s="490">
        <f t="shared" si="40"/>
        <v>1165034.6617439024</v>
      </c>
      <c r="I207" s="490">
        <f t="shared" si="40"/>
        <v>2032624.0781015749</v>
      </c>
      <c r="J207" s="490">
        <f t="shared" si="40"/>
        <v>9.5206521796800825</v>
      </c>
      <c r="K207" s="490">
        <f t="shared" si="40"/>
        <v>-76.439204534150008</v>
      </c>
      <c r="L207" s="490">
        <f t="shared" si="40"/>
        <v>609764.77490810375</v>
      </c>
      <c r="M207" s="490">
        <f t="shared" si="41"/>
        <v>13466578.628678827</v>
      </c>
    </row>
    <row r="208" spans="1:13" ht="13">
      <c r="A208" s="572">
        <f t="shared" si="39"/>
        <v>119</v>
      </c>
      <c r="B208" s="731" t="s">
        <v>2606</v>
      </c>
      <c r="C208" s="110">
        <f t="shared" si="40"/>
        <v>-1056.1278255855816</v>
      </c>
      <c r="D208" s="110">
        <f t="shared" si="40"/>
        <v>143709.8757934953</v>
      </c>
      <c r="E208" s="110">
        <f t="shared" si="40"/>
        <v>25199260.809074733</v>
      </c>
      <c r="F208" s="110">
        <f t="shared" si="40"/>
        <v>56009481.296646506</v>
      </c>
      <c r="G208" s="110">
        <f t="shared" si="40"/>
        <v>1373536.1886674589</v>
      </c>
      <c r="H208" s="110">
        <f t="shared" si="40"/>
        <v>1690714.7930739827</v>
      </c>
      <c r="I208" s="110">
        <f t="shared" si="40"/>
        <v>-600029.40605530667</v>
      </c>
      <c r="J208" s="110">
        <f t="shared" si="40"/>
        <v>271.54953708088476</v>
      </c>
      <c r="K208" s="110">
        <f t="shared" si="40"/>
        <v>85.159419674347902</v>
      </c>
      <c r="L208" s="110">
        <f t="shared" si="40"/>
        <v>35540.882854732467</v>
      </c>
      <c r="M208" s="110">
        <f t="shared" si="41"/>
        <v>83851515.021186769</v>
      </c>
    </row>
    <row r="209" spans="1:44" ht="13">
      <c r="A209" s="572">
        <f t="shared" si="39"/>
        <v>120</v>
      </c>
      <c r="B209" s="1168" t="s">
        <v>4</v>
      </c>
      <c r="C209" s="232">
        <f>SUM(C197:C208)</f>
        <v>1139482.2507255336</v>
      </c>
      <c r="D209" s="232">
        <f t="shared" ref="D209:L209" si="42">SUM(D197:D208)</f>
        <v>457971.32158222795</v>
      </c>
      <c r="E209" s="232">
        <f t="shared" si="42"/>
        <v>58603165.673531651</v>
      </c>
      <c r="F209" s="232">
        <f t="shared" si="42"/>
        <v>153248224.67590427</v>
      </c>
      <c r="G209" s="232">
        <f t="shared" si="42"/>
        <v>29407382.866179708</v>
      </c>
      <c r="H209" s="232">
        <f t="shared" si="42"/>
        <v>14544917.635070531</v>
      </c>
      <c r="I209" s="232">
        <f t="shared" si="42"/>
        <v>86921630.405033708</v>
      </c>
      <c r="J209" s="232">
        <f t="shared" si="42"/>
        <v>496.29636409878714</v>
      </c>
      <c r="K209" s="232">
        <f t="shared" si="42"/>
        <v>-2432.4437572807078</v>
      </c>
      <c r="L209" s="232">
        <f t="shared" si="42"/>
        <v>2013343.6930346487</v>
      </c>
      <c r="M209" s="490">
        <f t="shared" si="41"/>
        <v>346334182.37366903</v>
      </c>
    </row>
    <row r="211" spans="1:44" ht="13">
      <c r="B211" s="397" t="s">
        <v>230</v>
      </c>
    </row>
    <row r="212" spans="1:44">
      <c r="B212" s="478" t="s">
        <v>1856</v>
      </c>
      <c r="C212" s="14"/>
      <c r="D212" s="14"/>
      <c r="E212" s="14"/>
      <c r="F212" s="14"/>
      <c r="G212" s="14"/>
      <c r="H212" s="14"/>
      <c r="I212" s="14"/>
      <c r="J212" s="14"/>
      <c r="K212" s="14"/>
      <c r="L212" s="14"/>
    </row>
    <row r="213" spans="1:44">
      <c r="B213" s="936" t="s">
        <v>1877</v>
      </c>
      <c r="C213" s="478"/>
      <c r="D213" s="478"/>
      <c r="E213" s="478"/>
      <c r="F213" s="478"/>
      <c r="G213" s="478"/>
      <c r="H213" s="478"/>
      <c r="I213" s="14"/>
      <c r="J213" s="478"/>
      <c r="K213" s="478"/>
      <c r="L213" s="478"/>
      <c r="M213" s="478"/>
      <c r="N213" s="476"/>
      <c r="O213" s="476"/>
      <c r="P213" s="476"/>
      <c r="Q213" s="476"/>
      <c r="R213" s="476"/>
      <c r="S213" s="476"/>
      <c r="T213" s="476"/>
      <c r="U213" s="476"/>
      <c r="V213" s="476"/>
      <c r="W213" s="476"/>
      <c r="X213" s="476"/>
      <c r="Y213" s="476"/>
      <c r="Z213" s="476"/>
      <c r="AA213" s="476"/>
      <c r="AB213" s="476"/>
      <c r="AC213" s="476"/>
      <c r="AD213" s="476"/>
      <c r="AE213" s="476"/>
      <c r="AF213" s="476"/>
      <c r="AG213" s="476"/>
      <c r="AH213" s="476"/>
      <c r="AI213" s="476"/>
      <c r="AJ213" s="476"/>
      <c r="AK213" s="476"/>
      <c r="AL213" s="476"/>
      <c r="AM213" s="476"/>
      <c r="AN213" s="476"/>
      <c r="AO213" s="476"/>
      <c r="AP213" s="476"/>
      <c r="AQ213" s="476"/>
      <c r="AR213" s="476"/>
    </row>
    <row r="214" spans="1:44">
      <c r="B214" s="1163" t="s">
        <v>1857</v>
      </c>
      <c r="C214" s="14"/>
      <c r="D214" s="14"/>
      <c r="E214" s="14"/>
      <c r="F214" s="14"/>
      <c r="G214" s="14"/>
      <c r="H214" s="14"/>
      <c r="I214" s="14"/>
      <c r="J214" s="14"/>
      <c r="K214" s="14"/>
      <c r="L214" s="14"/>
      <c r="M214" s="14"/>
    </row>
    <row r="215" spans="1:44">
      <c r="B215" s="475" t="s">
        <v>2368</v>
      </c>
      <c r="C215" s="14"/>
      <c r="D215" s="14"/>
      <c r="E215" s="14"/>
      <c r="F215" s="14"/>
      <c r="G215" s="14"/>
      <c r="H215" s="14"/>
      <c r="I215" s="14"/>
      <c r="J215" s="14"/>
      <c r="K215" s="14"/>
      <c r="L215" s="14"/>
      <c r="M215" s="14"/>
    </row>
    <row r="216" spans="1:44">
      <c r="B216" s="475" t="s">
        <v>2369</v>
      </c>
      <c r="C216" s="14"/>
      <c r="D216" s="14"/>
      <c r="E216" s="14"/>
      <c r="F216" s="14"/>
      <c r="G216" s="14"/>
      <c r="H216" s="14"/>
      <c r="I216" s="14"/>
      <c r="J216" s="14"/>
      <c r="K216" s="14"/>
      <c r="L216" s="14"/>
      <c r="M216" s="14"/>
    </row>
    <row r="217" spans="1:44">
      <c r="B217" s="112" t="s">
        <v>1858</v>
      </c>
      <c r="C217" s="14"/>
      <c r="D217" s="14"/>
      <c r="E217" s="14"/>
      <c r="F217" s="14"/>
      <c r="G217" s="14"/>
      <c r="H217" s="14"/>
      <c r="I217" s="14"/>
      <c r="J217" s="14"/>
      <c r="K217" s="14"/>
      <c r="L217" s="14"/>
      <c r="M217" s="14"/>
    </row>
    <row r="218" spans="1:44">
      <c r="B218" s="478" t="s">
        <v>1859</v>
      </c>
      <c r="C218" s="14"/>
      <c r="D218" s="14"/>
      <c r="E218" s="14"/>
      <c r="F218" s="14"/>
      <c r="G218" s="14"/>
      <c r="H218" s="14"/>
      <c r="I218" s="14"/>
      <c r="J218" s="14"/>
      <c r="K218" s="14"/>
      <c r="L218" s="14"/>
      <c r="M218" s="14"/>
    </row>
    <row r="219" spans="1:44">
      <c r="B219" s="475" t="s">
        <v>2370</v>
      </c>
      <c r="C219" s="14"/>
      <c r="D219" s="14"/>
      <c r="E219" s="14"/>
      <c r="F219" s="14"/>
      <c r="G219" s="14"/>
      <c r="H219" s="14"/>
      <c r="I219" s="14"/>
      <c r="J219" s="14"/>
      <c r="K219" s="14"/>
      <c r="L219" s="14"/>
      <c r="M219" s="14"/>
    </row>
    <row r="220" spans="1:44">
      <c r="B220" s="475" t="s">
        <v>2371</v>
      </c>
      <c r="C220" s="14"/>
      <c r="D220" s="14"/>
      <c r="E220" s="14"/>
      <c r="F220" s="14"/>
      <c r="G220" s="14"/>
      <c r="H220" s="14"/>
      <c r="I220" s="14"/>
      <c r="J220" s="14"/>
      <c r="K220" s="14"/>
      <c r="L220" s="14"/>
      <c r="M220" s="14"/>
    </row>
    <row r="221" spans="1:44">
      <c r="B221" s="475" t="s">
        <v>2372</v>
      </c>
      <c r="C221" s="14"/>
      <c r="D221" s="14"/>
      <c r="E221" s="14"/>
      <c r="F221" s="14"/>
      <c r="G221" s="14"/>
      <c r="H221" s="14"/>
      <c r="I221" s="14"/>
      <c r="J221" s="14"/>
      <c r="K221" s="14"/>
      <c r="L221" s="14"/>
      <c r="M221" s="14"/>
    </row>
    <row r="222" spans="1:44">
      <c r="B222" s="478" t="str">
        <f>"2) Amounts on Line "&amp;A34&amp;" must match 6-Plant Study amounts for Distribution Plant - ISO for previous year."</f>
        <v>2) Amounts on Line 15 must match 6-Plant Study amounts for Distribution Plant - ISO for previous year.</v>
      </c>
      <c r="C222" s="14"/>
      <c r="D222" s="14"/>
      <c r="E222" s="14"/>
      <c r="F222" s="14"/>
      <c r="G222" s="14"/>
      <c r="H222" s="14"/>
      <c r="I222" s="14"/>
      <c r="J222" s="14"/>
      <c r="K222" s="14"/>
      <c r="L222" s="14"/>
    </row>
    <row r="223" spans="1:44">
      <c r="B223" s="475" t="str">
        <f>"Amounts on Line "&amp;A35&amp;" must match amounts on 6-PlantStudy for Distribution Plant - ISO."</f>
        <v>Amounts on Line 16 must match amounts on 6-PlantStudy for Distribution Plant - ISO.</v>
      </c>
      <c r="C223" s="14"/>
      <c r="D223" s="14"/>
      <c r="E223" s="14"/>
      <c r="F223" s="14"/>
      <c r="G223" s="14"/>
      <c r="H223" s="14"/>
      <c r="I223" s="14"/>
      <c r="J223" s="14"/>
      <c r="K223" s="14"/>
      <c r="L223" s="14"/>
    </row>
    <row r="224" spans="1:44">
      <c r="B224" s="1188" t="s">
        <v>2373</v>
      </c>
      <c r="C224" s="14"/>
      <c r="D224" s="14"/>
      <c r="E224" s="14"/>
      <c r="F224" s="14"/>
      <c r="G224" s="14"/>
      <c r="H224" s="14"/>
      <c r="I224" s="14"/>
      <c r="J224" s="14"/>
      <c r="K224" s="14"/>
      <c r="L224" s="14"/>
    </row>
    <row r="225" spans="2:12">
      <c r="B225" s="478" t="s">
        <v>2374</v>
      </c>
      <c r="C225" s="14"/>
      <c r="D225" s="14"/>
      <c r="E225" s="14"/>
      <c r="F225" s="14"/>
      <c r="G225" s="14"/>
      <c r="H225" s="14"/>
      <c r="I225" s="14"/>
      <c r="J225" s="14"/>
      <c r="K225" s="14"/>
      <c r="L225" s="14"/>
    </row>
    <row r="226" spans="2:12">
      <c r="B226" s="478" t="s">
        <v>2375</v>
      </c>
      <c r="C226" s="14"/>
      <c r="D226" s="14"/>
      <c r="E226" s="14"/>
      <c r="F226" s="14"/>
      <c r="G226" s="14"/>
      <c r="H226" s="14"/>
      <c r="I226" s="14"/>
      <c r="J226" s="14"/>
      <c r="K226" s="14"/>
      <c r="L226" s="14"/>
    </row>
    <row r="227" spans="2:12">
      <c r="B227" s="14" t="s">
        <v>2448</v>
      </c>
      <c r="C227" s="14"/>
      <c r="D227" s="14"/>
      <c r="E227" s="14"/>
      <c r="F227" s="14"/>
      <c r="G227" s="14"/>
      <c r="H227" s="14"/>
      <c r="I227" s="14"/>
      <c r="J227" s="14"/>
      <c r="L227" s="14"/>
    </row>
    <row r="228" spans="2:12">
      <c r="B228" s="476" t="s">
        <v>2376</v>
      </c>
      <c r="C228" s="14"/>
      <c r="D228" s="14"/>
      <c r="E228" s="14"/>
      <c r="F228" s="14"/>
      <c r="G228" s="14"/>
      <c r="H228" s="14"/>
      <c r="I228" s="14"/>
      <c r="J228" s="14"/>
      <c r="K228" s="14"/>
      <c r="L228" s="14"/>
    </row>
    <row r="229" spans="2:12">
      <c r="B229" s="476" t="s">
        <v>2377</v>
      </c>
      <c r="C229" s="14"/>
      <c r="D229" s="14"/>
      <c r="E229" s="14"/>
      <c r="F229" s="14"/>
      <c r="G229" s="14"/>
      <c r="H229" s="14"/>
      <c r="I229" s="14"/>
      <c r="J229" s="14"/>
      <c r="K229" s="14"/>
      <c r="L229" s="14"/>
    </row>
    <row r="230" spans="2:12">
      <c r="B230" s="1048" t="str">
        <f>"9) Amount on Line "&amp;A23&amp;" less amount on Line "&amp;A11&amp;" for each account."</f>
        <v>9) Amount on Line 13 less amount on Line 1 for each account.</v>
      </c>
      <c r="C230" s="14"/>
      <c r="D230" s="14"/>
      <c r="E230" s="14"/>
      <c r="F230" s="14"/>
      <c r="G230" s="14"/>
      <c r="H230" s="14"/>
      <c r="I230" s="14"/>
      <c r="J230" s="14"/>
      <c r="K230" s="14"/>
      <c r="L230" s="14"/>
    </row>
    <row r="231" spans="2:12">
      <c r="B231" s="1048" t="str">
        <f>"10) Line "&amp;A142&amp;""</f>
        <v>10) Line 79</v>
      </c>
      <c r="C231" s="14"/>
      <c r="D231" s="14"/>
      <c r="E231" s="14"/>
      <c r="F231" s="14"/>
      <c r="G231" s="14"/>
      <c r="H231" s="14"/>
      <c r="I231" s="14"/>
      <c r="J231" s="14"/>
      <c r="K231" s="14"/>
      <c r="L231" s="14"/>
    </row>
    <row r="232" spans="2:12">
      <c r="B232" s="1048" t="str">
        <f>"11) Amount on Line "&amp;A182&amp;" less amount on Line "&amp;A186&amp;" for each account."</f>
        <v>11) Amount on Line 105 less amount on Line 106 for each account.</v>
      </c>
      <c r="C232" s="14"/>
      <c r="D232" s="14"/>
      <c r="E232" s="14"/>
      <c r="F232" s="14"/>
      <c r="G232" s="14"/>
      <c r="H232" s="14"/>
      <c r="I232" s="14"/>
      <c r="J232" s="14"/>
      <c r="K232" s="14"/>
      <c r="L232" s="14"/>
    </row>
    <row r="233" spans="2:12">
      <c r="B233" s="478" t="str">
        <f>"12) For each column (FERC Account) divide Line "&amp;A190&amp;" by Line "&amp;A161&amp;" to arrive at a ratio for each column."</f>
        <v>12) For each column (FERC Account) divide Line 107 by Line 92 to arrive at a ratio for each column.</v>
      </c>
    </row>
    <row r="234" spans="2:12">
      <c r="B234" s="475" t="str">
        <f>"Apply the ratio of each column to each monthly value from Lines "&amp;A149&amp;"-"&amp;A160&amp;" to calculate the values for"</f>
        <v>Apply the ratio of each column to each monthly value from Lines 80-91 to calculate the values for</v>
      </c>
    </row>
    <row r="235" spans="2:12">
      <c r="B235" s="475" t="str">
        <f>"the corresponsing months listed in Lines "&amp;A197&amp;"-"&amp;A208&amp;"."</f>
        <v>the corresponsing months listed in Lines 108-119.</v>
      </c>
    </row>
  </sheetData>
  <phoneticPr fontId="23" type="noConversion"/>
  <pageMargins left="0.75" right="0.75" top="1" bottom="1" header="0.5" footer="0.5"/>
  <pageSetup scale="64" orientation="landscape" cellComments="asDisplayed" r:id="rId1"/>
  <headerFooter alignWithMargins="0">
    <oddHeader>&amp;CSchedule 6
Plant In Service
&amp;RTO2021 Annual Update
Attachment 5
TO2018 True Up TRR</oddHeader>
    <oddFooter>&amp;R&amp;A</oddFooter>
  </headerFooter>
  <rowBreaks count="4" manualBreakCount="4">
    <brk id="37" max="16383" man="1"/>
    <brk id="86" max="12" man="1"/>
    <brk id="124" max="12" man="1"/>
    <brk id="17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workbookViewId="0"/>
  </sheetViews>
  <sheetFormatPr defaultRowHeight="13"/>
  <cols>
    <col min="1" max="1" width="4.54296875" customWidth="1"/>
    <col min="2" max="2" width="25.54296875" style="125" customWidth="1"/>
    <col min="3" max="5" width="15.54296875" style="125" customWidth="1"/>
    <col min="6" max="6" width="12.453125" style="125" customWidth="1"/>
    <col min="8" max="8" width="15.54296875" customWidth="1"/>
  </cols>
  <sheetData>
    <row r="1" spans="1:8">
      <c r="A1" s="1" t="s">
        <v>427</v>
      </c>
      <c r="B1" s="170"/>
      <c r="C1" s="170"/>
      <c r="D1" s="170"/>
      <c r="E1" s="171" t="s">
        <v>447</v>
      </c>
      <c r="F1" s="184"/>
      <c r="G1" s="12"/>
    </row>
    <row r="2" spans="1:8">
      <c r="B2" s="170"/>
      <c r="C2" s="170"/>
      <c r="G2" s="12"/>
    </row>
    <row r="3" spans="1:8">
      <c r="A3" s="937" t="s">
        <v>1729</v>
      </c>
      <c r="B3" s="938"/>
      <c r="C3" s="938"/>
      <c r="D3" s="938"/>
      <c r="E3" s="939" t="s">
        <v>1724</v>
      </c>
      <c r="F3" s="171">
        <v>2019</v>
      </c>
      <c r="G3" s="12"/>
    </row>
    <row r="4" spans="1:8">
      <c r="A4" s="168"/>
      <c r="B4" s="170"/>
      <c r="C4" s="170"/>
      <c r="D4" s="170"/>
      <c r="E4" s="170"/>
      <c r="F4" s="170"/>
      <c r="G4" s="12"/>
    </row>
    <row r="5" spans="1:8">
      <c r="B5" s="168"/>
      <c r="C5" s="84" t="s">
        <v>359</v>
      </c>
      <c r="E5" s="84" t="s">
        <v>343</v>
      </c>
      <c r="F5" s="84" t="s">
        <v>344</v>
      </c>
      <c r="G5" s="12"/>
    </row>
    <row r="6" spans="1:8">
      <c r="B6" s="168"/>
      <c r="C6" s="84"/>
      <c r="E6" s="84"/>
      <c r="F6" s="84"/>
      <c r="G6" s="12"/>
    </row>
    <row r="7" spans="1:8">
      <c r="A7" s="51" t="s">
        <v>330</v>
      </c>
      <c r="B7" s="168"/>
      <c r="C7" s="169" t="s">
        <v>196</v>
      </c>
      <c r="D7" s="169"/>
      <c r="E7" s="169" t="s">
        <v>1122</v>
      </c>
      <c r="F7" s="169" t="s">
        <v>429</v>
      </c>
      <c r="G7" s="12"/>
    </row>
    <row r="8" spans="1:8">
      <c r="A8" s="2">
        <v>1</v>
      </c>
      <c r="B8" s="161" t="s">
        <v>99</v>
      </c>
      <c r="C8" s="161" t="s">
        <v>372</v>
      </c>
      <c r="D8" s="161" t="s">
        <v>433</v>
      </c>
      <c r="E8" s="161" t="s">
        <v>1123</v>
      </c>
      <c r="F8" s="161" t="s">
        <v>430</v>
      </c>
      <c r="G8" s="172" t="s">
        <v>168</v>
      </c>
    </row>
    <row r="9" spans="1:8" ht="12.75" customHeight="1">
      <c r="A9" s="2">
        <f>A8+1</f>
        <v>2</v>
      </c>
      <c r="B9" s="162" t="s">
        <v>423</v>
      </c>
      <c r="C9" s="173"/>
      <c r="D9" s="173"/>
      <c r="E9" s="173"/>
      <c r="F9" s="174"/>
      <c r="G9" s="12"/>
    </row>
    <row r="10" spans="1:8">
      <c r="A10" s="2">
        <f t="shared" ref="A10:A28" si="0">A9+1</f>
        <v>3</v>
      </c>
      <c r="B10" s="163">
        <v>352</v>
      </c>
      <c r="C10" s="509">
        <v>1143959578</v>
      </c>
      <c r="D10" s="155" t="s">
        <v>434</v>
      </c>
      <c r="E10" s="1027">
        <v>741230571.26955175</v>
      </c>
      <c r="F10" s="157">
        <f>E10/C10</f>
        <v>0.64795171571136734</v>
      </c>
      <c r="G10" s="12"/>
      <c r="H10" s="1026"/>
    </row>
    <row r="11" spans="1:8">
      <c r="A11" s="2">
        <f t="shared" si="0"/>
        <v>4</v>
      </c>
      <c r="B11" s="163">
        <v>353</v>
      </c>
      <c r="C11" s="115">
        <v>6517444414</v>
      </c>
      <c r="D11" s="155" t="s">
        <v>435</v>
      </c>
      <c r="E11" s="115">
        <v>3714934155.6737089</v>
      </c>
      <c r="F11" s="158">
        <f>E11/C11</f>
        <v>0.56999859449414381</v>
      </c>
      <c r="G11" s="12"/>
      <c r="H11" s="476"/>
    </row>
    <row r="12" spans="1:8">
      <c r="A12" s="2">
        <f t="shared" si="0"/>
        <v>5</v>
      </c>
      <c r="B12" s="165" t="s">
        <v>418</v>
      </c>
      <c r="C12" s="153">
        <f>SUM(C10:C11)</f>
        <v>7661403992</v>
      </c>
      <c r="D12" s="13" t="str">
        <f>"L "&amp;A10&amp;" + L "&amp;A11&amp;""</f>
        <v>L 3 + L 4</v>
      </c>
      <c r="E12" s="153">
        <f>SUM(E10:E11)</f>
        <v>4456164726.9432602</v>
      </c>
      <c r="F12" s="157">
        <f>E12/C12</f>
        <v>0.58163813468084513</v>
      </c>
      <c r="G12" s="12"/>
    </row>
    <row r="13" spans="1:8">
      <c r="A13" s="2">
        <f t="shared" si="0"/>
        <v>6</v>
      </c>
      <c r="B13" s="175"/>
      <c r="C13" s="176"/>
      <c r="D13" s="176"/>
      <c r="E13" s="176"/>
      <c r="F13" s="157"/>
      <c r="G13" s="12"/>
    </row>
    <row r="14" spans="1:8">
      <c r="A14" s="2">
        <f t="shared" si="0"/>
        <v>7</v>
      </c>
      <c r="B14" s="164" t="s">
        <v>419</v>
      </c>
      <c r="C14" s="177"/>
      <c r="D14" s="177"/>
      <c r="E14" s="177"/>
      <c r="F14" s="178"/>
      <c r="G14" s="12"/>
    </row>
    <row r="15" spans="1:8">
      <c r="A15" s="2">
        <f t="shared" si="0"/>
        <v>8</v>
      </c>
      <c r="B15" s="163">
        <v>350</v>
      </c>
      <c r="C15" s="727">
        <v>345076489</v>
      </c>
      <c r="D15" s="155" t="s">
        <v>436</v>
      </c>
      <c r="E15" s="727">
        <v>254455515.51833019</v>
      </c>
      <c r="F15" s="157">
        <f>E15/C15</f>
        <v>0.73738873446788256</v>
      </c>
      <c r="G15" s="12"/>
      <c r="H15" s="476"/>
    </row>
    <row r="16" spans="1:8">
      <c r="A16" s="2">
        <f t="shared" si="0"/>
        <v>9</v>
      </c>
      <c r="B16" s="163"/>
      <c r="C16" s="153"/>
      <c r="D16" s="153"/>
      <c r="E16" s="153"/>
      <c r="F16" s="157"/>
      <c r="G16" s="12"/>
    </row>
    <row r="17" spans="1:8">
      <c r="A17" s="2">
        <f t="shared" si="0"/>
        <v>10</v>
      </c>
      <c r="B17" s="164" t="s">
        <v>420</v>
      </c>
      <c r="C17" s="153">
        <f>C12+C15</f>
        <v>8006480481</v>
      </c>
      <c r="D17" s="13" t="str">
        <f>"L "&amp;A12&amp;" + L "&amp;A15&amp;""</f>
        <v>L 5 + L 8</v>
      </c>
      <c r="E17" s="153">
        <f>E12+E15</f>
        <v>4710620242.4615908</v>
      </c>
      <c r="F17" s="157">
        <f>E17/C17</f>
        <v>0.58835093067924893</v>
      </c>
      <c r="G17" s="12"/>
    </row>
    <row r="18" spans="1:8">
      <c r="A18" s="2">
        <f t="shared" si="0"/>
        <v>11</v>
      </c>
      <c r="B18" s="175"/>
      <c r="C18" s="176"/>
      <c r="D18" s="176"/>
      <c r="E18" s="176"/>
      <c r="F18" s="157"/>
      <c r="G18" s="12"/>
    </row>
    <row r="19" spans="1:8">
      <c r="A19" s="2">
        <f t="shared" si="0"/>
        <v>12</v>
      </c>
      <c r="B19" s="164" t="s">
        <v>421</v>
      </c>
      <c r="C19" s="176"/>
      <c r="D19" s="176"/>
      <c r="E19" s="176"/>
      <c r="F19" s="157"/>
      <c r="G19" s="12"/>
    </row>
    <row r="20" spans="1:8">
      <c r="A20" s="2">
        <f t="shared" si="0"/>
        <v>13</v>
      </c>
      <c r="B20" s="163">
        <v>354</v>
      </c>
      <c r="C20" s="736">
        <v>2380316641</v>
      </c>
      <c r="D20" s="155" t="s">
        <v>437</v>
      </c>
      <c r="E20" s="736">
        <v>2305124777.8401799</v>
      </c>
      <c r="F20" s="179">
        <f t="shared" ref="F20:F26" si="1">E20/C20</f>
        <v>0.9684109828647709</v>
      </c>
      <c r="G20" s="12"/>
      <c r="H20" s="476"/>
    </row>
    <row r="21" spans="1:8">
      <c r="A21" s="2">
        <f t="shared" si="0"/>
        <v>14</v>
      </c>
      <c r="B21" s="163">
        <v>355</v>
      </c>
      <c r="C21" s="736">
        <v>1666864455</v>
      </c>
      <c r="D21" s="155" t="s">
        <v>438</v>
      </c>
      <c r="E21" s="736">
        <v>408001019.0888837</v>
      </c>
      <c r="F21" s="179">
        <f t="shared" si="1"/>
        <v>0.2447715636775539</v>
      </c>
      <c r="G21" s="12"/>
      <c r="H21" s="476"/>
    </row>
    <row r="22" spans="1:8">
      <c r="A22" s="2">
        <f t="shared" si="0"/>
        <v>15</v>
      </c>
      <c r="B22" s="163">
        <v>356</v>
      </c>
      <c r="C22" s="736">
        <v>1763812033</v>
      </c>
      <c r="D22" s="155" t="s">
        <v>439</v>
      </c>
      <c r="E22" s="736">
        <v>1408013215.7482004</v>
      </c>
      <c r="F22" s="179">
        <f t="shared" si="1"/>
        <v>0.79827849533000683</v>
      </c>
      <c r="G22" s="12"/>
      <c r="H22" s="476"/>
    </row>
    <row r="23" spans="1:8">
      <c r="A23" s="2">
        <f t="shared" si="0"/>
        <v>16</v>
      </c>
      <c r="B23" s="163">
        <v>357</v>
      </c>
      <c r="C23" s="736">
        <v>296662316</v>
      </c>
      <c r="D23" s="155" t="s">
        <v>440</v>
      </c>
      <c r="E23" s="736">
        <v>215368701.52640039</v>
      </c>
      <c r="F23" s="179">
        <f t="shared" si="1"/>
        <v>0.72597256176750269</v>
      </c>
      <c r="G23" s="12"/>
      <c r="H23" s="476"/>
    </row>
    <row r="24" spans="1:8">
      <c r="A24" s="2">
        <f t="shared" si="0"/>
        <v>17</v>
      </c>
      <c r="B24" s="163">
        <v>358</v>
      </c>
      <c r="C24" s="736">
        <v>376202208</v>
      </c>
      <c r="D24" s="155" t="s">
        <v>441</v>
      </c>
      <c r="E24" s="736">
        <v>59251565.606308758</v>
      </c>
      <c r="F24" s="179">
        <f t="shared" si="1"/>
        <v>0.15749924999459003</v>
      </c>
      <c r="G24" s="12"/>
      <c r="H24" s="476"/>
    </row>
    <row r="25" spans="1:8">
      <c r="A25" s="2">
        <f t="shared" si="0"/>
        <v>18</v>
      </c>
      <c r="B25" s="163">
        <v>359</v>
      </c>
      <c r="C25" s="180">
        <v>201604232</v>
      </c>
      <c r="D25" s="155" t="s">
        <v>442</v>
      </c>
      <c r="E25" s="180">
        <v>179151598.49303469</v>
      </c>
      <c r="F25" s="181">
        <f t="shared" si="1"/>
        <v>0.88863014786829819</v>
      </c>
      <c r="G25" s="12"/>
      <c r="H25" s="476"/>
    </row>
    <row r="26" spans="1:8">
      <c r="A26" s="2">
        <f t="shared" si="0"/>
        <v>19</v>
      </c>
      <c r="B26" s="165" t="s">
        <v>422</v>
      </c>
      <c r="C26" s="153">
        <f>SUM(C20:C25)</f>
        <v>6685461885</v>
      </c>
      <c r="D26" s="156" t="str">
        <f>"Sum L"&amp;A20&amp;" to L"&amp;A25&amp;""</f>
        <v>Sum L13 to L18</v>
      </c>
      <c r="E26" s="153">
        <f>SUM(E20:E25)</f>
        <v>4574910878.3030081</v>
      </c>
      <c r="F26" s="157">
        <f t="shared" si="1"/>
        <v>0.68430737576525846</v>
      </c>
      <c r="G26" s="12"/>
    </row>
    <row r="27" spans="1:8">
      <c r="A27" s="2">
        <f t="shared" si="0"/>
        <v>20</v>
      </c>
      <c r="B27" s="182"/>
      <c r="C27" s="153"/>
      <c r="D27" s="153"/>
      <c r="E27" s="153"/>
      <c r="F27" s="157"/>
      <c r="G27" s="12"/>
    </row>
    <row r="28" spans="1:8">
      <c r="A28" s="2">
        <f t="shared" si="0"/>
        <v>21</v>
      </c>
      <c r="B28" s="183" t="s">
        <v>432</v>
      </c>
      <c r="C28" s="159">
        <f>C17+C26</f>
        <v>14691942366</v>
      </c>
      <c r="D28" s="13" t="str">
        <f>"L "&amp;A17&amp;" + L "&amp;A26&amp;""</f>
        <v>L 10 + L 19</v>
      </c>
      <c r="E28" s="159">
        <f>E17+E26</f>
        <v>9285531120.7645988</v>
      </c>
      <c r="F28" s="160">
        <f>E28/C28</f>
        <v>0.63201521551385309</v>
      </c>
      <c r="G28" s="12" t="s">
        <v>360</v>
      </c>
    </row>
    <row r="29" spans="1:8">
      <c r="A29" s="2"/>
      <c r="B29" s="130"/>
      <c r="C29" s="126"/>
      <c r="D29" s="126"/>
      <c r="E29" s="126"/>
      <c r="F29" s="129"/>
    </row>
    <row r="30" spans="1:8">
      <c r="A30" s="2"/>
      <c r="B30" s="127"/>
      <c r="C30" s="128"/>
      <c r="D30" s="128"/>
      <c r="E30" s="589"/>
      <c r="F30" s="128"/>
    </row>
    <row r="31" spans="1:8">
      <c r="A31" s="168" t="s">
        <v>431</v>
      </c>
      <c r="C31" s="128"/>
      <c r="D31" s="128"/>
      <c r="E31" s="128"/>
      <c r="F31" s="128"/>
    </row>
    <row r="32" spans="1:8">
      <c r="A32" s="2"/>
      <c r="B32" s="133"/>
      <c r="C32" s="128"/>
      <c r="D32" s="128"/>
      <c r="E32" s="128"/>
      <c r="F32" s="128"/>
    </row>
    <row r="33" spans="1:9">
      <c r="A33" s="51" t="s">
        <v>330</v>
      </c>
      <c r="B33" s="168"/>
      <c r="C33" s="169" t="s">
        <v>196</v>
      </c>
      <c r="D33" s="169"/>
      <c r="E33" s="169" t="s">
        <v>306</v>
      </c>
      <c r="F33" s="169" t="s">
        <v>429</v>
      </c>
    </row>
    <row r="34" spans="1:9">
      <c r="A34" s="2">
        <f>A28+1</f>
        <v>22</v>
      </c>
      <c r="B34" s="161" t="s">
        <v>99</v>
      </c>
      <c r="C34" s="161" t="s">
        <v>372</v>
      </c>
      <c r="D34" s="161" t="s">
        <v>433</v>
      </c>
      <c r="E34" s="161" t="s">
        <v>1123</v>
      </c>
      <c r="F34" s="161" t="s">
        <v>430</v>
      </c>
    </row>
    <row r="35" spans="1:9">
      <c r="A35" s="2">
        <f t="shared" ref="A35:A42" si="2">A34+1</f>
        <v>23</v>
      </c>
      <c r="B35" s="162" t="s">
        <v>424</v>
      </c>
      <c r="C35" s="126"/>
      <c r="D35" s="126"/>
      <c r="E35" s="126"/>
      <c r="F35" s="129"/>
    </row>
    <row r="36" spans="1:9">
      <c r="A36" s="2">
        <f t="shared" si="2"/>
        <v>24</v>
      </c>
      <c r="B36" s="163">
        <v>360</v>
      </c>
      <c r="C36" s="727">
        <v>129043959</v>
      </c>
      <c r="D36" s="155" t="s">
        <v>443</v>
      </c>
      <c r="E36" s="1028">
        <v>0</v>
      </c>
      <c r="F36" s="157">
        <f>E36/C36</f>
        <v>0</v>
      </c>
      <c r="H36" s="476"/>
    </row>
    <row r="37" spans="1:9">
      <c r="A37" s="2">
        <f t="shared" si="2"/>
        <v>25</v>
      </c>
      <c r="B37" s="164" t="s">
        <v>425</v>
      </c>
      <c r="C37" s="153"/>
      <c r="D37" s="153"/>
      <c r="E37" s="153"/>
      <c r="F37" s="157"/>
    </row>
    <row r="38" spans="1:9">
      <c r="A38" s="2">
        <f t="shared" si="2"/>
        <v>26</v>
      </c>
      <c r="B38" s="163">
        <v>361</v>
      </c>
      <c r="C38" s="727">
        <v>799384569</v>
      </c>
      <c r="D38" s="155" t="s">
        <v>444</v>
      </c>
      <c r="E38" s="152">
        <v>0</v>
      </c>
      <c r="F38" s="157">
        <f>E38/C38</f>
        <v>0</v>
      </c>
      <c r="H38" s="476"/>
    </row>
    <row r="39" spans="1:9">
      <c r="A39" s="2">
        <f t="shared" si="2"/>
        <v>27</v>
      </c>
      <c r="B39" s="163">
        <v>362</v>
      </c>
      <c r="C39" s="154">
        <v>2967456409</v>
      </c>
      <c r="D39" s="155" t="s">
        <v>445</v>
      </c>
      <c r="E39" s="154">
        <v>0</v>
      </c>
      <c r="F39" s="158">
        <f>E39/C39</f>
        <v>0</v>
      </c>
      <c r="H39" s="476"/>
    </row>
    <row r="40" spans="1:9">
      <c r="A40" s="2">
        <f t="shared" si="2"/>
        <v>28</v>
      </c>
      <c r="B40" s="165" t="s">
        <v>426</v>
      </c>
      <c r="C40" s="153">
        <f>SUM(C38:C39)</f>
        <v>3766840978</v>
      </c>
      <c r="D40" s="13" t="str">
        <f>"L "&amp;A38&amp;" + L "&amp;A39&amp;""</f>
        <v>L 26 + L 27</v>
      </c>
      <c r="E40" s="153">
        <f>SUM(E38:E39)</f>
        <v>0</v>
      </c>
      <c r="F40" s="157">
        <f>E40/C40</f>
        <v>0</v>
      </c>
    </row>
    <row r="41" spans="1:9">
      <c r="A41" s="2">
        <f t="shared" si="2"/>
        <v>29</v>
      </c>
      <c r="B41" s="166"/>
      <c r="C41" s="137"/>
      <c r="D41" s="153"/>
      <c r="E41" s="153"/>
      <c r="F41" s="157"/>
    </row>
    <row r="42" spans="1:9">
      <c r="A42" s="2">
        <f t="shared" si="2"/>
        <v>30</v>
      </c>
      <c r="B42" s="167" t="s">
        <v>1221</v>
      </c>
      <c r="C42" s="159">
        <f>C36+C40</f>
        <v>3895884937</v>
      </c>
      <c r="D42" s="13" t="str">
        <f>"L "&amp;A36&amp;" + L "&amp;A40&amp;""</f>
        <v>L 24 + L 28</v>
      </c>
      <c r="E42" s="159">
        <f>E36+E40</f>
        <v>0</v>
      </c>
      <c r="F42" s="160">
        <f>E42/C42</f>
        <v>0</v>
      </c>
      <c r="G42" s="12" t="s">
        <v>361</v>
      </c>
      <c r="H42" s="12"/>
    </row>
    <row r="43" spans="1:9">
      <c r="A43" s="2"/>
      <c r="B43" s="134"/>
      <c r="C43" s="135"/>
      <c r="D43" s="135"/>
      <c r="E43" s="135"/>
      <c r="F43" s="136"/>
      <c r="H43" s="138"/>
      <c r="I43" s="12"/>
    </row>
    <row r="44" spans="1:9">
      <c r="A44" s="61"/>
      <c r="E44" s="131"/>
    </row>
    <row r="45" spans="1:9">
      <c r="A45" s="83" t="s">
        <v>230</v>
      </c>
    </row>
    <row r="46" spans="1:9">
      <c r="A46" s="13" t="s">
        <v>446</v>
      </c>
      <c r="E46" s="131"/>
    </row>
    <row r="47" spans="1:9">
      <c r="A47" s="13" t="s">
        <v>451</v>
      </c>
    </row>
    <row r="48" spans="1:9">
      <c r="A48" s="13" t="s">
        <v>448</v>
      </c>
      <c r="C48" s="131"/>
      <c r="D48" s="131"/>
    </row>
    <row r="49" spans="1:4">
      <c r="A49" s="13" t="s">
        <v>450</v>
      </c>
      <c r="C49" s="132"/>
      <c r="D49" s="132"/>
    </row>
    <row r="50" spans="1:4">
      <c r="A50" s="61"/>
      <c r="C50" s="131"/>
      <c r="D50" s="131"/>
    </row>
    <row r="51" spans="1:4">
      <c r="A51" s="83" t="s">
        <v>378</v>
      </c>
    </row>
    <row r="52" spans="1:4">
      <c r="A52" s="13" t="s">
        <v>449</v>
      </c>
    </row>
    <row r="53" spans="1:4">
      <c r="A53" s="13" t="s">
        <v>1425</v>
      </c>
    </row>
    <row r="54" spans="1:4">
      <c r="A54" s="480" t="s">
        <v>2015</v>
      </c>
    </row>
  </sheetData>
  <pageMargins left="0.7" right="0.7" top="0.75" bottom="0.75" header="0.3" footer="0.3"/>
  <pageSetup scale="90" orientation="portrait" cellComments="asDisplayed" r:id="rId1"/>
  <headerFooter>
    <oddHeader>&amp;CSchedule 7
Transmission Plant Study Summary
&amp;RTO2021 Annual Update
Attachment 5
TO2018 True Up TRR</oddHeader>
    <oddFooter>&amp;R7-PlantStudy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54"/>
  <sheetViews>
    <sheetView zoomScaleNormal="100" workbookViewId="0"/>
  </sheetViews>
  <sheetFormatPr defaultColWidth="8.54296875" defaultRowHeight="12.5"/>
  <cols>
    <col min="1" max="1" width="4.54296875" style="1048" customWidth="1"/>
    <col min="2" max="2" width="7.54296875" style="1048" customWidth="1"/>
    <col min="3" max="3" width="10.54296875" style="1048" customWidth="1"/>
    <col min="4" max="4" width="13.54296875" style="1048" customWidth="1"/>
    <col min="5" max="6" width="14.54296875" style="1048" customWidth="1"/>
    <col min="7" max="10" width="13.54296875" style="1048" customWidth="1"/>
    <col min="11" max="12" width="11.54296875" style="1048" customWidth="1"/>
    <col min="13" max="13" width="13.54296875" style="1048" customWidth="1"/>
    <col min="14" max="14" width="14.54296875" style="1048" customWidth="1"/>
    <col min="15" max="15" width="13.54296875" style="14" customWidth="1"/>
    <col min="16" max="23" width="8.54296875" style="14"/>
    <col min="24" max="16384" width="8.54296875" style="1048"/>
  </cols>
  <sheetData>
    <row r="1" spans="1:18" ht="13">
      <c r="A1" s="1" t="s">
        <v>163</v>
      </c>
      <c r="B1" s="1"/>
      <c r="C1" s="230"/>
      <c r="D1" s="230"/>
      <c r="E1" s="230"/>
      <c r="F1" s="230"/>
      <c r="G1" s="230"/>
      <c r="H1" s="230"/>
      <c r="I1" s="230"/>
      <c r="J1" s="517" t="s">
        <v>447</v>
      </c>
      <c r="K1" s="184"/>
      <c r="L1" s="230"/>
      <c r="M1" s="230"/>
      <c r="N1" s="230"/>
      <c r="O1" s="239"/>
      <c r="P1" s="239"/>
      <c r="Q1" s="239"/>
      <c r="R1" s="239"/>
    </row>
    <row r="2" spans="1:18">
      <c r="A2" s="230"/>
      <c r="B2" s="230"/>
      <c r="C2" s="230"/>
      <c r="D2" s="230"/>
      <c r="E2" s="230"/>
      <c r="F2" s="230"/>
      <c r="G2" s="230"/>
      <c r="H2" s="230"/>
      <c r="I2" s="230"/>
      <c r="L2" s="230"/>
      <c r="M2" s="230"/>
      <c r="N2" s="230"/>
      <c r="O2" s="239"/>
      <c r="P2" s="239"/>
      <c r="Q2" s="239"/>
      <c r="R2" s="239"/>
    </row>
    <row r="3" spans="1:18" ht="13">
      <c r="A3" s="230"/>
      <c r="B3" s="1" t="s">
        <v>328</v>
      </c>
      <c r="C3" s="230"/>
      <c r="D3" s="230"/>
      <c r="E3" s="230"/>
      <c r="F3" s="230"/>
      <c r="G3" s="935" t="s">
        <v>1724</v>
      </c>
      <c r="H3" s="1051">
        <v>2019</v>
      </c>
      <c r="I3" s="230"/>
      <c r="J3" s="230"/>
      <c r="K3" s="230"/>
      <c r="L3" s="230"/>
      <c r="M3" s="230"/>
      <c r="N3" s="230"/>
      <c r="O3" s="239"/>
      <c r="P3" s="239"/>
      <c r="Q3" s="239"/>
      <c r="R3" s="239"/>
    </row>
    <row r="4" spans="1:18">
      <c r="A4" s="230"/>
      <c r="B4" s="230"/>
      <c r="C4" s="230"/>
      <c r="D4" s="230"/>
      <c r="E4" s="230"/>
      <c r="F4" s="230"/>
      <c r="G4" s="230"/>
      <c r="H4" s="230"/>
      <c r="I4" s="230"/>
      <c r="J4" s="230"/>
      <c r="K4" s="230"/>
      <c r="L4" s="230"/>
      <c r="M4" s="230"/>
      <c r="N4" s="230"/>
      <c r="O4" s="239"/>
      <c r="P4" s="239"/>
      <c r="Q4" s="239"/>
      <c r="R4" s="239"/>
    </row>
    <row r="5" spans="1:18">
      <c r="A5" s="230"/>
      <c r="B5" s="230"/>
      <c r="C5" s="476" t="s">
        <v>1536</v>
      </c>
      <c r="D5" s="230"/>
      <c r="E5" s="230"/>
      <c r="F5" s="230"/>
      <c r="G5" s="230"/>
      <c r="H5" s="230"/>
      <c r="I5" s="230"/>
      <c r="J5" s="476"/>
      <c r="K5" s="230"/>
      <c r="L5" s="230"/>
      <c r="M5" s="230"/>
      <c r="N5" s="230"/>
      <c r="O5" s="239"/>
      <c r="P5" s="239"/>
      <c r="Q5" s="239"/>
      <c r="R5" s="239"/>
    </row>
    <row r="6" spans="1:18">
      <c r="A6" s="230"/>
      <c r="B6" s="230"/>
      <c r="C6" s="230"/>
      <c r="D6" s="230"/>
      <c r="E6" s="230"/>
      <c r="F6" s="230"/>
      <c r="G6" s="230"/>
      <c r="H6" s="230"/>
      <c r="I6" s="230"/>
      <c r="J6" s="230"/>
      <c r="K6" s="230"/>
      <c r="L6" s="230"/>
      <c r="M6" s="230"/>
      <c r="N6" s="230"/>
      <c r="O6" s="239"/>
      <c r="P6" s="239"/>
      <c r="Q6" s="239"/>
      <c r="R6" s="239"/>
    </row>
    <row r="7" spans="1:18" ht="13">
      <c r="A7" s="230"/>
      <c r="B7" s="230"/>
      <c r="C7" s="84" t="s">
        <v>359</v>
      </c>
      <c r="D7" s="84" t="s">
        <v>343</v>
      </c>
      <c r="E7" s="84" t="s">
        <v>344</v>
      </c>
      <c r="F7" s="84" t="s">
        <v>345</v>
      </c>
      <c r="G7" s="84" t="s">
        <v>346</v>
      </c>
      <c r="H7" s="84" t="s">
        <v>347</v>
      </c>
      <c r="I7" s="84" t="s">
        <v>348</v>
      </c>
      <c r="J7" s="84" t="s">
        <v>537</v>
      </c>
      <c r="K7" s="84" t="s">
        <v>954</v>
      </c>
      <c r="L7" s="84" t="s">
        <v>967</v>
      </c>
      <c r="M7" s="84" t="s">
        <v>970</v>
      </c>
      <c r="N7" s="84" t="s">
        <v>988</v>
      </c>
      <c r="O7" s="239"/>
      <c r="P7" s="239"/>
      <c r="Q7" s="239"/>
      <c r="R7" s="239"/>
    </row>
    <row r="8" spans="1:18">
      <c r="A8" s="230"/>
      <c r="B8" s="230"/>
      <c r="C8" s="247"/>
      <c r="D8" s="230"/>
      <c r="E8" s="230"/>
      <c r="F8" s="230"/>
      <c r="G8" s="230"/>
      <c r="H8" s="230"/>
      <c r="I8" s="230"/>
      <c r="J8" s="230"/>
      <c r="K8" s="230"/>
      <c r="L8" s="230"/>
      <c r="M8" s="230"/>
      <c r="N8" s="460" t="s">
        <v>1651</v>
      </c>
      <c r="O8" s="239"/>
      <c r="P8" s="239"/>
      <c r="Q8" s="239"/>
      <c r="R8" s="239"/>
    </row>
    <row r="9" spans="1:18" ht="13">
      <c r="A9" s="230"/>
      <c r="B9" s="230"/>
      <c r="C9" s="452"/>
      <c r="D9" s="518" t="s">
        <v>12</v>
      </c>
      <c r="E9" s="230"/>
      <c r="F9" s="230"/>
      <c r="G9" s="230"/>
      <c r="H9" s="230"/>
      <c r="I9" s="230"/>
      <c r="J9" s="230"/>
      <c r="K9" s="230"/>
      <c r="L9" s="230"/>
      <c r="M9" s="230"/>
      <c r="N9" s="230"/>
      <c r="O9" s="239"/>
      <c r="P9" s="239"/>
      <c r="Q9" s="239"/>
      <c r="R9" s="239"/>
    </row>
    <row r="10" spans="1:18" ht="13">
      <c r="A10" s="230"/>
      <c r="B10" s="230"/>
      <c r="C10" s="109"/>
      <c r="D10" s="518" t="s">
        <v>968</v>
      </c>
      <c r="E10" s="230"/>
      <c r="F10" s="230"/>
      <c r="G10" s="230"/>
      <c r="H10" s="230"/>
      <c r="I10" s="230"/>
      <c r="J10" s="230"/>
      <c r="K10" s="230"/>
      <c r="L10" s="230"/>
      <c r="M10" s="230"/>
      <c r="N10" s="230"/>
      <c r="O10" s="239"/>
      <c r="P10" s="239"/>
      <c r="Q10" s="239"/>
      <c r="R10" s="239"/>
    </row>
    <row r="11" spans="1:18" ht="12.75" customHeight="1">
      <c r="A11" s="51" t="s">
        <v>330</v>
      </c>
      <c r="B11" s="51"/>
      <c r="C11" s="123" t="s">
        <v>1760</v>
      </c>
      <c r="D11" s="84">
        <v>350.1</v>
      </c>
      <c r="E11" s="84">
        <v>350.2</v>
      </c>
      <c r="F11" s="84">
        <v>352</v>
      </c>
      <c r="G11" s="84">
        <v>353</v>
      </c>
      <c r="H11" s="84">
        <v>354</v>
      </c>
      <c r="I11" s="84">
        <v>355</v>
      </c>
      <c r="J11" s="84">
        <v>356</v>
      </c>
      <c r="K11" s="84">
        <v>357</v>
      </c>
      <c r="L11" s="84">
        <v>358</v>
      </c>
      <c r="M11" s="84">
        <v>359</v>
      </c>
      <c r="N11" s="3" t="s">
        <v>196</v>
      </c>
      <c r="O11" s="239"/>
      <c r="P11" s="239"/>
      <c r="Q11" s="239"/>
      <c r="R11" s="239"/>
    </row>
    <row r="12" spans="1:18" ht="12.75" customHeight="1">
      <c r="A12" s="572">
        <v>1</v>
      </c>
      <c r="B12" s="572"/>
      <c r="C12" s="1014" t="s">
        <v>2462</v>
      </c>
      <c r="D12" s="509">
        <v>0</v>
      </c>
      <c r="E12" s="509">
        <v>23285718.871868949</v>
      </c>
      <c r="F12" s="509">
        <v>105746315.80267715</v>
      </c>
      <c r="G12" s="509">
        <v>558039637.56029141</v>
      </c>
      <c r="H12" s="509">
        <v>542790390.88820314</v>
      </c>
      <c r="I12" s="509">
        <v>49370280.436928757</v>
      </c>
      <c r="J12" s="509">
        <v>437221587.28354192</v>
      </c>
      <c r="K12" s="509">
        <v>6809024.0482156798</v>
      </c>
      <c r="L12" s="509">
        <v>11173141.017508255</v>
      </c>
      <c r="M12" s="509">
        <v>20303393.816705655</v>
      </c>
      <c r="N12" s="232">
        <f>SUM(D12:M12)</f>
        <v>1754739489.7259409</v>
      </c>
      <c r="O12" s="239"/>
      <c r="P12" s="239"/>
      <c r="Q12" s="239"/>
      <c r="R12" s="239"/>
    </row>
    <row r="13" spans="1:18" ht="12.75" customHeight="1">
      <c r="A13" s="572">
        <f>A12+1</f>
        <v>2</v>
      </c>
      <c r="B13" s="572"/>
      <c r="C13" s="732" t="s">
        <v>2607</v>
      </c>
      <c r="D13" s="234">
        <f>D12+D70+D119</f>
        <v>0</v>
      </c>
      <c r="E13" s="234">
        <f>E12+E70+E119</f>
        <v>23508188.729181208</v>
      </c>
      <c r="F13" s="234">
        <f t="shared" ref="F13:M23" si="0">F12+F70+F119</f>
        <v>106936819.55405301</v>
      </c>
      <c r="G13" s="234">
        <f t="shared" si="0"/>
        <v>564297619.76932418</v>
      </c>
      <c r="H13" s="234">
        <f t="shared" si="0"/>
        <v>547954515.54556227</v>
      </c>
      <c r="I13" s="234">
        <f t="shared" si="0"/>
        <v>49701493.506246299</v>
      </c>
      <c r="J13" s="234">
        <f t="shared" si="0"/>
        <v>440338210.08393097</v>
      </c>
      <c r="K13" s="234">
        <f t="shared" si="0"/>
        <v>7070037.9308226928</v>
      </c>
      <c r="L13" s="234">
        <f t="shared" si="0"/>
        <v>11416025.890373191</v>
      </c>
      <c r="M13" s="234">
        <f t="shared" si="0"/>
        <v>20530072.496242356</v>
      </c>
      <c r="N13" s="232">
        <f t="shared" ref="N13:N25" si="1">SUM(D13:M13)</f>
        <v>1771752983.5057361</v>
      </c>
      <c r="O13" s="239"/>
      <c r="P13" s="239"/>
      <c r="Q13" s="239"/>
      <c r="R13" s="239"/>
    </row>
    <row r="14" spans="1:18" ht="12.75" customHeight="1">
      <c r="A14" s="572">
        <f t="shared" ref="A14:A25" si="2">A13+1</f>
        <v>3</v>
      </c>
      <c r="B14" s="572"/>
      <c r="C14" s="731" t="s">
        <v>2596</v>
      </c>
      <c r="D14" s="234">
        <f t="shared" ref="D14:E23" si="3">D13+D71+D120</f>
        <v>0</v>
      </c>
      <c r="E14" s="234">
        <f t="shared" si="3"/>
        <v>23739596.929944005</v>
      </c>
      <c r="F14" s="234">
        <f t="shared" si="0"/>
        <v>107997352.86432198</v>
      </c>
      <c r="G14" s="234">
        <f t="shared" si="0"/>
        <v>571397998.69025826</v>
      </c>
      <c r="H14" s="234">
        <f t="shared" si="0"/>
        <v>552511314.73904705</v>
      </c>
      <c r="I14" s="234">
        <f t="shared" si="0"/>
        <v>49424146.857711926</v>
      </c>
      <c r="J14" s="234">
        <f t="shared" si="0"/>
        <v>443677525.66296303</v>
      </c>
      <c r="K14" s="234">
        <f t="shared" si="0"/>
        <v>7333139.0625924729</v>
      </c>
      <c r="L14" s="234">
        <f t="shared" si="0"/>
        <v>11736463.009130927</v>
      </c>
      <c r="M14" s="234">
        <f t="shared" si="0"/>
        <v>20760995.073914189</v>
      </c>
      <c r="N14" s="232">
        <f t="shared" si="1"/>
        <v>1788578532.8898842</v>
      </c>
      <c r="O14" s="239"/>
      <c r="P14" s="239"/>
      <c r="Q14" s="239"/>
      <c r="R14" s="239"/>
    </row>
    <row r="15" spans="1:18" ht="12.75" customHeight="1">
      <c r="A15" s="572">
        <f t="shared" si="2"/>
        <v>4</v>
      </c>
      <c r="B15" s="572"/>
      <c r="C15" s="731" t="s">
        <v>2597</v>
      </c>
      <c r="D15" s="234">
        <f t="shared" si="3"/>
        <v>0</v>
      </c>
      <c r="E15" s="234">
        <f t="shared" si="3"/>
        <v>23972976.181234267</v>
      </c>
      <c r="F15" s="234">
        <f t="shared" si="0"/>
        <v>108864575.87717934</v>
      </c>
      <c r="G15" s="234">
        <f t="shared" si="0"/>
        <v>575568812.72845113</v>
      </c>
      <c r="H15" s="234">
        <f t="shared" si="0"/>
        <v>556282958.84747243</v>
      </c>
      <c r="I15" s="234">
        <f t="shared" si="0"/>
        <v>49021373.392592452</v>
      </c>
      <c r="J15" s="234">
        <f t="shared" si="0"/>
        <v>446979650.48626506</v>
      </c>
      <c r="K15" s="234">
        <f t="shared" si="0"/>
        <v>7424697.4638095666</v>
      </c>
      <c r="L15" s="234">
        <f t="shared" si="0"/>
        <v>12974686.335257404</v>
      </c>
      <c r="M15" s="234">
        <f t="shared" si="0"/>
        <v>20987757.873310838</v>
      </c>
      <c r="N15" s="232">
        <f t="shared" si="1"/>
        <v>1802077489.1855721</v>
      </c>
      <c r="O15" s="239"/>
      <c r="P15" s="239"/>
      <c r="Q15" s="239"/>
      <c r="R15" s="239"/>
    </row>
    <row r="16" spans="1:18" ht="12.75" customHeight="1">
      <c r="A16" s="572">
        <f t="shared" si="2"/>
        <v>5</v>
      </c>
      <c r="B16" s="572"/>
      <c r="C16" s="732" t="s">
        <v>2598</v>
      </c>
      <c r="D16" s="234">
        <f t="shared" si="3"/>
        <v>0</v>
      </c>
      <c r="E16" s="234">
        <f t="shared" si="3"/>
        <v>24195546.95622224</v>
      </c>
      <c r="F16" s="234">
        <f t="shared" si="0"/>
        <v>110253072.20928743</v>
      </c>
      <c r="G16" s="234">
        <f t="shared" si="0"/>
        <v>579500716.45053017</v>
      </c>
      <c r="H16" s="234">
        <f t="shared" si="0"/>
        <v>560013794.61749053</v>
      </c>
      <c r="I16" s="234">
        <f t="shared" si="0"/>
        <v>49403352.004142374</v>
      </c>
      <c r="J16" s="234">
        <f t="shared" si="0"/>
        <v>449496842.71255153</v>
      </c>
      <c r="K16" s="234">
        <f t="shared" si="0"/>
        <v>7683440.2658031844</v>
      </c>
      <c r="L16" s="234">
        <f t="shared" si="0"/>
        <v>13259636.175110083</v>
      </c>
      <c r="M16" s="234">
        <f t="shared" si="0"/>
        <v>21226344.695434976</v>
      </c>
      <c r="N16" s="232">
        <f t="shared" si="1"/>
        <v>1815032746.0865726</v>
      </c>
      <c r="O16" s="239"/>
      <c r="P16" s="239"/>
      <c r="Q16" s="239"/>
      <c r="R16" s="239"/>
    </row>
    <row r="17" spans="1:18" ht="12.75" customHeight="1">
      <c r="A17" s="572">
        <f t="shared" si="2"/>
        <v>6</v>
      </c>
      <c r="B17" s="572"/>
      <c r="C17" s="731" t="s">
        <v>2599</v>
      </c>
      <c r="D17" s="234">
        <f t="shared" si="3"/>
        <v>0</v>
      </c>
      <c r="E17" s="234">
        <f t="shared" si="3"/>
        <v>24428939.132300764</v>
      </c>
      <c r="F17" s="234">
        <f t="shared" si="0"/>
        <v>111299296.07815929</v>
      </c>
      <c r="G17" s="234">
        <f t="shared" si="0"/>
        <v>580255313.47458017</v>
      </c>
      <c r="H17" s="234">
        <f t="shared" si="0"/>
        <v>564419874.73844838</v>
      </c>
      <c r="I17" s="234">
        <f t="shared" si="0"/>
        <v>49767040.874761</v>
      </c>
      <c r="J17" s="234">
        <f t="shared" si="0"/>
        <v>451730760.73878103</v>
      </c>
      <c r="K17" s="234">
        <f t="shared" si="0"/>
        <v>7874571.5974107888</v>
      </c>
      <c r="L17" s="234">
        <f t="shared" si="0"/>
        <v>13742704.228438172</v>
      </c>
      <c r="M17" s="234">
        <f t="shared" si="0"/>
        <v>21531405.912219651</v>
      </c>
      <c r="N17" s="232">
        <f t="shared" si="1"/>
        <v>1825049906.7750993</v>
      </c>
      <c r="O17" s="239"/>
      <c r="P17" s="239"/>
      <c r="Q17" s="239"/>
      <c r="R17" s="239"/>
    </row>
    <row r="18" spans="1:18" ht="12.75" customHeight="1">
      <c r="A18" s="572">
        <f t="shared" si="2"/>
        <v>7</v>
      </c>
      <c r="B18" s="572"/>
      <c r="C18" s="731" t="s">
        <v>2600</v>
      </c>
      <c r="D18" s="234">
        <f t="shared" si="3"/>
        <v>0</v>
      </c>
      <c r="E18" s="234">
        <f t="shared" si="3"/>
        <v>24676836.079628237</v>
      </c>
      <c r="F18" s="234">
        <f t="shared" si="0"/>
        <v>112668169.95588161</v>
      </c>
      <c r="G18" s="234">
        <f t="shared" si="0"/>
        <v>586376810.47082746</v>
      </c>
      <c r="H18" s="234">
        <f t="shared" si="0"/>
        <v>568132315.41784072</v>
      </c>
      <c r="I18" s="234">
        <f t="shared" si="0"/>
        <v>50146378.241208449</v>
      </c>
      <c r="J18" s="234">
        <f t="shared" si="0"/>
        <v>454745819.65809155</v>
      </c>
      <c r="K18" s="234">
        <f t="shared" si="0"/>
        <v>8454630.9344944116</v>
      </c>
      <c r="L18" s="234">
        <f t="shared" si="0"/>
        <v>12961553.700431658</v>
      </c>
      <c r="M18" s="234">
        <f t="shared" si="0"/>
        <v>21761949.241098046</v>
      </c>
      <c r="N18" s="232">
        <f t="shared" si="1"/>
        <v>1839924463.6995025</v>
      </c>
      <c r="O18" s="239"/>
      <c r="P18" s="239"/>
      <c r="Q18" s="239"/>
      <c r="R18" s="239"/>
    </row>
    <row r="19" spans="1:18" ht="12.75" customHeight="1">
      <c r="A19" s="572">
        <f t="shared" si="2"/>
        <v>8</v>
      </c>
      <c r="B19" s="572"/>
      <c r="C19" s="732" t="s">
        <v>2601</v>
      </c>
      <c r="D19" s="234">
        <f t="shared" si="3"/>
        <v>0</v>
      </c>
      <c r="E19" s="234">
        <f t="shared" si="3"/>
        <v>24915532.784629174</v>
      </c>
      <c r="F19" s="234">
        <f t="shared" si="0"/>
        <v>114049275.19071698</v>
      </c>
      <c r="G19" s="234">
        <f t="shared" si="0"/>
        <v>592496270.18786323</v>
      </c>
      <c r="H19" s="234">
        <f t="shared" si="0"/>
        <v>572467960.59876585</v>
      </c>
      <c r="I19" s="234">
        <f t="shared" si="0"/>
        <v>50427883.827992335</v>
      </c>
      <c r="J19" s="234">
        <f t="shared" si="0"/>
        <v>458159160.27980149</v>
      </c>
      <c r="K19" s="234">
        <f t="shared" si="0"/>
        <v>8648142.5198268816</v>
      </c>
      <c r="L19" s="234">
        <f t="shared" si="0"/>
        <v>12688254.65268394</v>
      </c>
      <c r="M19" s="234">
        <f t="shared" si="0"/>
        <v>21993151.616426811</v>
      </c>
      <c r="N19" s="232">
        <f t="shared" si="1"/>
        <v>1855845631.6587067</v>
      </c>
      <c r="O19" s="239"/>
      <c r="P19" s="239"/>
      <c r="Q19" s="239"/>
      <c r="R19" s="239"/>
    </row>
    <row r="20" spans="1:18" ht="12.75" customHeight="1">
      <c r="A20" s="572">
        <f t="shared" si="2"/>
        <v>9</v>
      </c>
      <c r="B20" s="572"/>
      <c r="C20" s="731" t="s">
        <v>2602</v>
      </c>
      <c r="D20" s="234">
        <f t="shared" si="3"/>
        <v>0</v>
      </c>
      <c r="E20" s="234">
        <f t="shared" si="3"/>
        <v>25144481.702072307</v>
      </c>
      <c r="F20" s="234">
        <f t="shared" si="0"/>
        <v>114355614.27967694</v>
      </c>
      <c r="G20" s="234">
        <f t="shared" si="0"/>
        <v>593335937.700073</v>
      </c>
      <c r="H20" s="234">
        <f t="shared" si="0"/>
        <v>576626673.32874882</v>
      </c>
      <c r="I20" s="234">
        <f t="shared" si="0"/>
        <v>51116231.637252823</v>
      </c>
      <c r="J20" s="234">
        <f t="shared" si="0"/>
        <v>461708745.18542546</v>
      </c>
      <c r="K20" s="234">
        <f t="shared" si="0"/>
        <v>8944202.4107450116</v>
      </c>
      <c r="L20" s="234">
        <f t="shared" si="0"/>
        <v>13488188.573436858</v>
      </c>
      <c r="M20" s="234">
        <f t="shared" si="0"/>
        <v>22224114.918210894</v>
      </c>
      <c r="N20" s="232">
        <f t="shared" si="1"/>
        <v>1866944189.7356422</v>
      </c>
      <c r="O20" s="239"/>
      <c r="P20" s="239"/>
      <c r="Q20" s="239"/>
      <c r="R20" s="239"/>
    </row>
    <row r="21" spans="1:18" ht="12.75" customHeight="1">
      <c r="A21" s="572">
        <f t="shared" si="2"/>
        <v>10</v>
      </c>
      <c r="B21" s="572"/>
      <c r="C21" s="731" t="s">
        <v>2603</v>
      </c>
      <c r="D21" s="234">
        <f t="shared" si="3"/>
        <v>0</v>
      </c>
      <c r="E21" s="234">
        <f t="shared" si="3"/>
        <v>25388707.379880331</v>
      </c>
      <c r="F21" s="234">
        <f t="shared" si="0"/>
        <v>115703222.37486602</v>
      </c>
      <c r="G21" s="234">
        <f t="shared" si="0"/>
        <v>599087515.43056667</v>
      </c>
      <c r="H21" s="234">
        <f t="shared" si="0"/>
        <v>578094855.1774025</v>
      </c>
      <c r="I21" s="234">
        <f t="shared" si="0"/>
        <v>51696504.80450283</v>
      </c>
      <c r="J21" s="234">
        <f t="shared" si="0"/>
        <v>464720799.67695051</v>
      </c>
      <c r="K21" s="234">
        <f t="shared" si="0"/>
        <v>9227325.5545729138</v>
      </c>
      <c r="L21" s="234">
        <f t="shared" si="0"/>
        <v>14037946.14088228</v>
      </c>
      <c r="M21" s="234">
        <f t="shared" si="0"/>
        <v>22455500.607020225</v>
      </c>
      <c r="N21" s="232">
        <f t="shared" si="1"/>
        <v>1880412377.1466439</v>
      </c>
      <c r="O21" s="239"/>
      <c r="P21" s="239"/>
      <c r="Q21" s="239"/>
      <c r="R21" s="239"/>
    </row>
    <row r="22" spans="1:18" ht="12.75" customHeight="1">
      <c r="A22" s="572">
        <f t="shared" si="2"/>
        <v>11</v>
      </c>
      <c r="B22" s="572"/>
      <c r="C22" s="732" t="s">
        <v>2604</v>
      </c>
      <c r="D22" s="234">
        <f t="shared" si="3"/>
        <v>0</v>
      </c>
      <c r="E22" s="234">
        <f t="shared" si="3"/>
        <v>25618133.78338027</v>
      </c>
      <c r="F22" s="234">
        <f t="shared" si="0"/>
        <v>117106561.01260352</v>
      </c>
      <c r="G22" s="234">
        <f t="shared" si="0"/>
        <v>604389365.36341226</v>
      </c>
      <c r="H22" s="234">
        <f t="shared" si="0"/>
        <v>582496612.88466072</v>
      </c>
      <c r="I22" s="234">
        <f t="shared" si="0"/>
        <v>52078796.273452222</v>
      </c>
      <c r="J22" s="234">
        <f t="shared" si="0"/>
        <v>466945263.30622029</v>
      </c>
      <c r="K22" s="234">
        <f t="shared" si="0"/>
        <v>9485279.625958072</v>
      </c>
      <c r="L22" s="234">
        <f t="shared" si="0"/>
        <v>14407774.797019653</v>
      </c>
      <c r="M22" s="234">
        <f t="shared" si="0"/>
        <v>22707415.387885753</v>
      </c>
      <c r="N22" s="232">
        <f t="shared" si="1"/>
        <v>1895235202.434593</v>
      </c>
      <c r="O22" s="239"/>
      <c r="P22" s="239"/>
      <c r="Q22" s="239"/>
      <c r="R22" s="239"/>
    </row>
    <row r="23" spans="1:18" ht="12.75" customHeight="1">
      <c r="A23" s="572">
        <f t="shared" si="2"/>
        <v>12</v>
      </c>
      <c r="B23" s="572"/>
      <c r="C23" s="732" t="s">
        <v>2605</v>
      </c>
      <c r="D23" s="234">
        <f t="shared" si="3"/>
        <v>0</v>
      </c>
      <c r="E23" s="234">
        <f t="shared" si="3"/>
        <v>25845383.862741873</v>
      </c>
      <c r="F23" s="234">
        <f t="shared" si="0"/>
        <v>118566593.69692856</v>
      </c>
      <c r="G23" s="234">
        <f t="shared" si="0"/>
        <v>609580603.44452894</v>
      </c>
      <c r="H23" s="234">
        <f t="shared" si="0"/>
        <v>586855809.97415972</v>
      </c>
      <c r="I23" s="234">
        <f t="shared" si="0"/>
        <v>52373003.80805257</v>
      </c>
      <c r="J23" s="234">
        <f t="shared" si="0"/>
        <v>470406278.28024697</v>
      </c>
      <c r="K23" s="234">
        <f t="shared" si="0"/>
        <v>9779195.7397112139</v>
      </c>
      <c r="L23" s="234">
        <f t="shared" si="0"/>
        <v>14622801.142906452</v>
      </c>
      <c r="M23" s="234">
        <f t="shared" si="0"/>
        <v>22989238.754396893</v>
      </c>
      <c r="N23" s="232">
        <f t="shared" si="1"/>
        <v>1911018908.7036734</v>
      </c>
      <c r="O23" s="239"/>
      <c r="P23" s="239"/>
      <c r="Q23" s="239"/>
      <c r="R23" s="239"/>
    </row>
    <row r="24" spans="1:18" ht="13">
      <c r="A24" s="572">
        <f t="shared" si="2"/>
        <v>13</v>
      </c>
      <c r="B24" s="572"/>
      <c r="C24" s="731" t="s">
        <v>2606</v>
      </c>
      <c r="D24" s="115">
        <v>0</v>
      </c>
      <c r="E24" s="115">
        <v>26094240.982190136</v>
      </c>
      <c r="F24" s="115">
        <v>117949869.25554368</v>
      </c>
      <c r="G24" s="115">
        <v>600933059.71191561</v>
      </c>
      <c r="H24" s="115">
        <v>591191848.46649885</v>
      </c>
      <c r="I24" s="115">
        <v>52246029.772206806</v>
      </c>
      <c r="J24" s="115">
        <v>474012550.00490808</v>
      </c>
      <c r="K24" s="115">
        <v>10012744.632312972</v>
      </c>
      <c r="L24" s="115">
        <v>14787191.383395158</v>
      </c>
      <c r="M24" s="115">
        <v>23224783.891074482</v>
      </c>
      <c r="N24" s="366">
        <f t="shared" si="1"/>
        <v>1910452318.1000457</v>
      </c>
      <c r="O24" s="239"/>
      <c r="P24" s="239"/>
      <c r="Q24" s="239"/>
      <c r="R24" s="239"/>
    </row>
    <row r="25" spans="1:18" ht="13">
      <c r="A25" s="572">
        <f t="shared" si="2"/>
        <v>14</v>
      </c>
      <c r="B25" s="230"/>
      <c r="C25" s="1168" t="s">
        <v>1186</v>
      </c>
      <c r="D25" s="232">
        <f t="shared" ref="D25:M25" si="4">AVERAGE(D12:D24)</f>
        <v>0</v>
      </c>
      <c r="E25" s="232">
        <f>AVERAGE(E12:E24)</f>
        <v>24678021.798097983</v>
      </c>
      <c r="F25" s="232">
        <f t="shared" si="4"/>
        <v>112422826.01168427</v>
      </c>
      <c r="G25" s="232">
        <f t="shared" si="4"/>
        <v>585789204.6909709</v>
      </c>
      <c r="H25" s="232">
        <f t="shared" si="4"/>
        <v>567679917.32494617</v>
      </c>
      <c r="I25" s="232">
        <f t="shared" si="4"/>
        <v>50520962.725926988</v>
      </c>
      <c r="J25" s="232">
        <f t="shared" si="4"/>
        <v>455395630.2584368</v>
      </c>
      <c r="K25" s="232">
        <f t="shared" si="4"/>
        <v>8365110.137405836</v>
      </c>
      <c r="L25" s="232">
        <f t="shared" si="4"/>
        <v>13176643.618967235</v>
      </c>
      <c r="M25" s="232">
        <f t="shared" si="4"/>
        <v>21745855.714149293</v>
      </c>
      <c r="N25" s="232">
        <f t="shared" si="1"/>
        <v>1839774172.2805853</v>
      </c>
      <c r="O25" s="239"/>
      <c r="P25" s="239"/>
      <c r="Q25" s="239"/>
      <c r="R25" s="239"/>
    </row>
    <row r="26" spans="1:18">
      <c r="A26" s="230"/>
      <c r="B26" s="230"/>
      <c r="C26" s="230"/>
      <c r="D26" s="230"/>
      <c r="E26" s="230"/>
      <c r="F26" s="230"/>
      <c r="G26" s="230"/>
      <c r="H26" s="230"/>
      <c r="I26" s="230"/>
      <c r="J26" s="230"/>
      <c r="K26" s="230"/>
      <c r="L26" s="230"/>
      <c r="M26" s="230"/>
      <c r="N26" s="230"/>
      <c r="O26" s="239"/>
      <c r="P26" s="239"/>
      <c r="Q26" s="239"/>
      <c r="R26" s="239"/>
    </row>
    <row r="27" spans="1:18" ht="13">
      <c r="A27" s="230"/>
      <c r="B27" s="394" t="s">
        <v>1537</v>
      </c>
      <c r="C27" s="230"/>
      <c r="D27" s="230"/>
      <c r="E27" s="230"/>
      <c r="F27" s="230"/>
      <c r="G27" s="230"/>
      <c r="H27" s="230"/>
      <c r="I27" s="230"/>
      <c r="J27" s="230"/>
      <c r="K27" s="230"/>
      <c r="L27" s="230"/>
      <c r="M27" s="230"/>
      <c r="N27" s="230"/>
      <c r="O27" s="239"/>
      <c r="P27" s="239"/>
      <c r="Q27" s="239"/>
      <c r="R27" s="239"/>
    </row>
    <row r="28" spans="1:18" ht="13">
      <c r="A28" s="230"/>
      <c r="B28" s="394"/>
      <c r="C28" s="230"/>
      <c r="D28" s="230"/>
      <c r="E28" s="230"/>
      <c r="F28" s="230"/>
      <c r="G28" s="230"/>
      <c r="H28" s="230"/>
      <c r="I28" s="230"/>
      <c r="J28" s="230"/>
      <c r="K28" s="230"/>
      <c r="L28" s="230"/>
      <c r="M28" s="230"/>
      <c r="N28" s="230"/>
      <c r="O28" s="239"/>
      <c r="P28" s="239"/>
      <c r="Q28" s="239"/>
      <c r="R28" s="239"/>
    </row>
    <row r="29" spans="1:18" ht="13">
      <c r="A29" s="230"/>
      <c r="B29" s="230"/>
      <c r="C29" s="84" t="s">
        <v>359</v>
      </c>
      <c r="D29" s="84" t="s">
        <v>343</v>
      </c>
      <c r="E29" s="84" t="s">
        <v>344</v>
      </c>
      <c r="F29" s="84" t="s">
        <v>345</v>
      </c>
      <c r="G29" s="84" t="s">
        <v>346</v>
      </c>
      <c r="H29" s="230"/>
      <c r="I29" s="230"/>
      <c r="J29" s="230"/>
      <c r="K29" s="230"/>
      <c r="L29" s="230"/>
      <c r="M29" s="230"/>
      <c r="N29" s="230"/>
      <c r="O29" s="239"/>
      <c r="P29" s="239"/>
      <c r="Q29" s="239"/>
      <c r="R29" s="239"/>
    </row>
    <row r="30" spans="1:18" ht="13">
      <c r="A30" s="230"/>
      <c r="B30" s="230"/>
      <c r="C30" s="230"/>
      <c r="D30" s="518" t="s">
        <v>12</v>
      </c>
      <c r="E30" s="230"/>
      <c r="F30" s="230"/>
      <c r="G30" s="460" t="s">
        <v>1650</v>
      </c>
      <c r="H30" s="230"/>
      <c r="I30" s="230"/>
      <c r="J30" s="230"/>
      <c r="K30" s="230"/>
      <c r="L30" s="230"/>
      <c r="M30" s="230"/>
      <c r="N30" s="230"/>
      <c r="O30" s="519"/>
      <c r="P30" s="239"/>
      <c r="Q30" s="239"/>
      <c r="R30" s="239"/>
    </row>
    <row r="31" spans="1:18">
      <c r="A31" s="230"/>
      <c r="B31" s="230"/>
      <c r="C31" s="230"/>
      <c r="D31" s="518" t="s">
        <v>968</v>
      </c>
      <c r="E31" s="230"/>
      <c r="F31" s="230"/>
      <c r="G31" s="230"/>
      <c r="H31" s="230"/>
      <c r="I31" s="230"/>
      <c r="J31" s="230"/>
      <c r="K31" s="230"/>
      <c r="L31" s="230"/>
      <c r="M31" s="230"/>
      <c r="N31" s="230"/>
      <c r="O31" s="464"/>
      <c r="P31" s="239"/>
      <c r="Q31" s="239"/>
      <c r="R31" s="239"/>
    </row>
    <row r="32" spans="1:18" ht="13">
      <c r="A32" s="230"/>
      <c r="B32" s="230"/>
      <c r="C32" s="123" t="s">
        <v>1760</v>
      </c>
      <c r="D32" s="84">
        <v>360</v>
      </c>
      <c r="E32" s="84">
        <v>361</v>
      </c>
      <c r="F32" s="84">
        <v>362</v>
      </c>
      <c r="G32" s="3" t="s">
        <v>196</v>
      </c>
      <c r="H32" s="940" t="s">
        <v>168</v>
      </c>
      <c r="I32" s="239"/>
      <c r="J32" s="239"/>
      <c r="K32" s="230"/>
      <c r="L32" s="230"/>
      <c r="M32" s="230"/>
      <c r="N32" s="230"/>
      <c r="O32" s="464"/>
      <c r="P32" s="239"/>
      <c r="Q32" s="239"/>
      <c r="R32" s="239"/>
    </row>
    <row r="33" spans="1:18" ht="13">
      <c r="A33" s="572">
        <f>A25+1</f>
        <v>15</v>
      </c>
      <c r="C33" s="731" t="s">
        <v>2494</v>
      </c>
      <c r="D33" s="1056">
        <v>0</v>
      </c>
      <c r="E33" s="1056">
        <v>0</v>
      </c>
      <c r="F33" s="1056">
        <v>0</v>
      </c>
      <c r="G33" s="232">
        <f>SUM(D33:F33)</f>
        <v>0</v>
      </c>
      <c r="H33" s="475" t="s">
        <v>1761</v>
      </c>
      <c r="I33" s="239"/>
      <c r="J33" s="239"/>
      <c r="K33" s="230"/>
      <c r="L33" s="230"/>
      <c r="M33" s="230"/>
      <c r="N33" s="230"/>
      <c r="O33" s="464"/>
      <c r="P33" s="239"/>
      <c r="Q33" s="239"/>
      <c r="R33" s="239"/>
    </row>
    <row r="34" spans="1:18" ht="13">
      <c r="A34" s="572">
        <v>16</v>
      </c>
      <c r="C34" s="731" t="s">
        <v>2606</v>
      </c>
      <c r="D34" s="396">
        <v>0</v>
      </c>
      <c r="E34" s="396">
        <v>0</v>
      </c>
      <c r="F34" s="396">
        <v>0</v>
      </c>
      <c r="G34" s="366">
        <f>SUM(D34:F34)</f>
        <v>0</v>
      </c>
      <c r="H34" s="475" t="s">
        <v>89</v>
      </c>
      <c r="I34" s="239"/>
      <c r="J34" s="239"/>
      <c r="K34" s="230"/>
      <c r="L34" s="230"/>
      <c r="O34" s="464"/>
      <c r="P34" s="239"/>
      <c r="Q34" s="239"/>
      <c r="R34" s="239"/>
    </row>
    <row r="35" spans="1:18" ht="13">
      <c r="A35" s="572">
        <f>A34+1</f>
        <v>17</v>
      </c>
      <c r="C35" s="231" t="s">
        <v>1316</v>
      </c>
      <c r="D35" s="232">
        <f>AVERAGE(D33:D34)</f>
        <v>0</v>
      </c>
      <c r="E35" s="232">
        <f>AVERAGE(E33:E34)</f>
        <v>0</v>
      </c>
      <c r="F35" s="232">
        <f>AVERAGE(F33:F34)</f>
        <v>0</v>
      </c>
      <c r="G35" s="232">
        <f>AVERAGE(G33:G34)</f>
        <v>0</v>
      </c>
      <c r="H35" s="245" t="str">
        <f>"Average of Line "&amp;A33&amp;" and Line "&amp;A34&amp;""</f>
        <v>Average of Line 15 and Line 16</v>
      </c>
      <c r="I35" s="230"/>
      <c r="J35" s="230"/>
      <c r="K35" s="230"/>
      <c r="M35" s="634"/>
      <c r="N35" s="604"/>
      <c r="O35" s="464"/>
      <c r="P35" s="239"/>
      <c r="Q35" s="239"/>
      <c r="R35" s="239"/>
    </row>
    <row r="36" spans="1:18">
      <c r="C36" s="231"/>
      <c r="I36" s="230"/>
      <c r="J36" s="230"/>
      <c r="K36" s="230"/>
      <c r="M36" s="627"/>
      <c r="N36" s="1179"/>
      <c r="O36" s="464"/>
      <c r="P36" s="239"/>
      <c r="Q36" s="239"/>
      <c r="R36" s="239"/>
    </row>
    <row r="37" spans="1:18" ht="13">
      <c r="B37" s="394" t="s">
        <v>1534</v>
      </c>
      <c r="I37" s="230"/>
      <c r="J37" s="230"/>
      <c r="K37" s="230"/>
      <c r="L37" s="230"/>
      <c r="M37" s="634"/>
      <c r="N37" s="1179"/>
      <c r="O37" s="464"/>
      <c r="P37" s="239"/>
      <c r="Q37" s="239"/>
      <c r="R37" s="239"/>
    </row>
    <row r="38" spans="1:18" ht="14.5">
      <c r="B38" s="369"/>
      <c r="C38" s="358" t="s">
        <v>359</v>
      </c>
      <c r="D38" s="358" t="s">
        <v>343</v>
      </c>
      <c r="E38" s="358" t="s">
        <v>344</v>
      </c>
      <c r="F38" s="358" t="s">
        <v>345</v>
      </c>
      <c r="G38" s="358" t="s">
        <v>346</v>
      </c>
      <c r="J38" s="230"/>
      <c r="K38" s="233"/>
      <c r="L38" s="230"/>
      <c r="O38" s="239"/>
      <c r="P38" s="239"/>
      <c r="Q38" s="239"/>
      <c r="R38" s="239"/>
    </row>
    <row r="39" spans="1:18" ht="14.5">
      <c r="B39" s="369"/>
      <c r="C39" s="358"/>
      <c r="D39" s="358"/>
      <c r="E39" s="541" t="s">
        <v>1788</v>
      </c>
      <c r="F39" s="358"/>
      <c r="G39" s="358"/>
      <c r="J39" s="230"/>
      <c r="K39" s="233"/>
      <c r="L39" s="230"/>
      <c r="O39" s="239"/>
      <c r="P39" s="239"/>
      <c r="Q39" s="239"/>
      <c r="R39" s="239"/>
    </row>
    <row r="40" spans="1:18" ht="13">
      <c r="C40" s="14"/>
      <c r="D40" s="14"/>
      <c r="E40" s="452" t="s">
        <v>196</v>
      </c>
      <c r="F40" s="14"/>
      <c r="G40" s="14"/>
      <c r="J40" s="230"/>
      <c r="K40" s="233"/>
      <c r="L40" s="230"/>
      <c r="O40" s="239"/>
      <c r="P40" s="239"/>
      <c r="Q40" s="239"/>
      <c r="R40" s="239"/>
    </row>
    <row r="41" spans="1:18" ht="13">
      <c r="B41" s="230"/>
      <c r="C41" s="14"/>
      <c r="D41" s="239"/>
      <c r="E41" s="452" t="s">
        <v>1787</v>
      </c>
      <c r="F41" s="109" t="s">
        <v>1207</v>
      </c>
      <c r="G41" s="109" t="s">
        <v>1208</v>
      </c>
      <c r="J41" s="230"/>
      <c r="K41" s="233"/>
      <c r="L41" s="230"/>
      <c r="O41" s="239"/>
      <c r="P41" s="239"/>
      <c r="Q41" s="239"/>
      <c r="R41" s="239"/>
    </row>
    <row r="42" spans="1:18" ht="13">
      <c r="B42" s="230"/>
      <c r="C42" s="14"/>
      <c r="D42" s="239"/>
      <c r="E42" s="452" t="s">
        <v>1317</v>
      </c>
      <c r="F42" s="452" t="s">
        <v>1317</v>
      </c>
      <c r="G42" s="452" t="s">
        <v>1317</v>
      </c>
      <c r="J42" s="230"/>
      <c r="K42" s="233"/>
      <c r="L42" s="230"/>
      <c r="Q42" s="239"/>
      <c r="R42" s="239"/>
    </row>
    <row r="43" spans="1:18" ht="13">
      <c r="B43" s="230"/>
      <c r="C43" s="123" t="s">
        <v>1760</v>
      </c>
      <c r="D43" s="239"/>
      <c r="E43" s="453" t="s">
        <v>1318</v>
      </c>
      <c r="F43" s="453" t="s">
        <v>1318</v>
      </c>
      <c r="G43" s="453" t="s">
        <v>1318</v>
      </c>
      <c r="H43" s="397" t="s">
        <v>179</v>
      </c>
      <c r="J43" s="230"/>
      <c r="K43" s="367"/>
      <c r="L43" s="230"/>
      <c r="O43" s="239"/>
      <c r="P43" s="239"/>
      <c r="Q43" s="239"/>
      <c r="R43" s="239"/>
    </row>
    <row r="44" spans="1:18" ht="13">
      <c r="A44" s="572">
        <f>A35+1</f>
        <v>18</v>
      </c>
      <c r="B44" s="230"/>
      <c r="C44" s="731" t="s">
        <v>2494</v>
      </c>
      <c r="D44" s="1169" t="s">
        <v>1314</v>
      </c>
      <c r="E44" s="234">
        <f>SUM(F44:G44)</f>
        <v>1612060674</v>
      </c>
      <c r="F44" s="1056">
        <v>1060652423</v>
      </c>
      <c r="G44" s="592">
        <v>551408251</v>
      </c>
      <c r="H44" s="464" t="s">
        <v>1789</v>
      </c>
      <c r="I44" s="14"/>
      <c r="J44" s="239"/>
      <c r="L44" s="230"/>
      <c r="O44" s="239"/>
      <c r="P44" s="239"/>
      <c r="Q44" s="239"/>
      <c r="R44" s="239"/>
    </row>
    <row r="45" spans="1:18" ht="13">
      <c r="A45" s="572">
        <f>A44+1</f>
        <v>19</v>
      </c>
      <c r="B45" s="230"/>
      <c r="C45" s="731" t="s">
        <v>2606</v>
      </c>
      <c r="D45" s="231" t="s">
        <v>1315</v>
      </c>
      <c r="E45" s="459">
        <f>SUM(F45:G45)</f>
        <v>1609893450</v>
      </c>
      <c r="F45" s="1056">
        <v>1089877633</v>
      </c>
      <c r="G45" s="592">
        <v>520015817</v>
      </c>
      <c r="H45" s="464" t="s">
        <v>1790</v>
      </c>
      <c r="I45" s="14"/>
      <c r="J45" s="239"/>
      <c r="K45" s="1191"/>
      <c r="L45" s="230"/>
      <c r="O45" s="239"/>
      <c r="P45" s="239"/>
      <c r="Q45" s="239"/>
      <c r="R45" s="239"/>
    </row>
    <row r="46" spans="1:18" ht="13">
      <c r="A46" s="572">
        <f>A45+1</f>
        <v>20</v>
      </c>
      <c r="B46" s="230"/>
      <c r="D46" s="231" t="s">
        <v>1316</v>
      </c>
      <c r="E46" s="232">
        <f>AVERAGE(E44:E45)</f>
        <v>1610977062</v>
      </c>
      <c r="H46" s="245" t="str">
        <f>"Average of Line "&amp;A44&amp;" and Line "&amp;A45&amp;""</f>
        <v>Average of Line 18 and Line 19</v>
      </c>
      <c r="J46" s="230"/>
      <c r="K46" s="1191"/>
      <c r="L46" s="230"/>
      <c r="O46" s="239"/>
      <c r="P46" s="239"/>
      <c r="Q46" s="239"/>
      <c r="R46" s="239"/>
    </row>
    <row r="47" spans="1:18">
      <c r="I47" s="230"/>
      <c r="J47" s="230"/>
      <c r="K47" s="230"/>
      <c r="L47" s="230"/>
      <c r="O47" s="239"/>
      <c r="P47" s="239"/>
      <c r="Q47" s="239"/>
      <c r="R47" s="239"/>
    </row>
    <row r="48" spans="1:18" ht="13">
      <c r="B48" s="1" t="s">
        <v>1319</v>
      </c>
      <c r="C48" s="639"/>
      <c r="D48" s="1175"/>
      <c r="E48" s="230"/>
      <c r="F48" s="230"/>
      <c r="G48" s="230"/>
      <c r="H48" s="230"/>
      <c r="I48" s="230"/>
      <c r="J48" s="230"/>
      <c r="K48" s="230"/>
      <c r="L48" s="230"/>
      <c r="M48" s="230"/>
      <c r="N48" s="230"/>
      <c r="O48" s="239"/>
      <c r="P48" s="239"/>
      <c r="Q48" s="239"/>
      <c r="R48" s="239"/>
    </row>
    <row r="49" spans="1:18" ht="13">
      <c r="B49" s="1"/>
      <c r="C49" s="639"/>
      <c r="D49" s="1175"/>
      <c r="E49" s="230"/>
      <c r="F49" s="230"/>
      <c r="G49" s="230"/>
      <c r="H49" s="230"/>
      <c r="I49" s="230"/>
      <c r="J49" s="230"/>
      <c r="K49" s="230"/>
      <c r="L49" s="230"/>
      <c r="M49" s="230"/>
      <c r="N49" s="230"/>
      <c r="O49" s="239"/>
      <c r="P49" s="239"/>
      <c r="Q49" s="239"/>
      <c r="R49" s="239"/>
    </row>
    <row r="50" spans="1:18" ht="13">
      <c r="B50" s="230"/>
      <c r="C50" s="1"/>
      <c r="D50" s="639"/>
      <c r="E50" s="1175"/>
      <c r="F50" s="367" t="s">
        <v>175</v>
      </c>
      <c r="G50" s="397" t="s">
        <v>179</v>
      </c>
      <c r="H50" s="230"/>
      <c r="I50" s="230"/>
      <c r="J50" s="230"/>
      <c r="K50" s="230"/>
      <c r="L50" s="230"/>
      <c r="M50" s="230"/>
      <c r="N50" s="230"/>
      <c r="O50" s="239"/>
      <c r="P50" s="239"/>
      <c r="Q50" s="239"/>
      <c r="R50" s="239"/>
    </row>
    <row r="51" spans="1:18" ht="13">
      <c r="A51" s="572">
        <f>A46+1</f>
        <v>21</v>
      </c>
      <c r="B51" s="230"/>
      <c r="C51" s="639"/>
      <c r="D51" s="639"/>
      <c r="E51" s="1169" t="s">
        <v>1320</v>
      </c>
      <c r="F51" s="1170">
        <f>E46</f>
        <v>1610977062</v>
      </c>
      <c r="G51" s="245" t="str">
        <f>"Line "&amp;A46&amp;""</f>
        <v>Line 20</v>
      </c>
      <c r="H51" s="230"/>
      <c r="I51" s="230"/>
      <c r="J51" s="230"/>
      <c r="K51" s="230"/>
      <c r="L51" s="230"/>
      <c r="M51" s="230"/>
      <c r="N51" s="230"/>
      <c r="O51" s="239"/>
      <c r="P51" s="239"/>
      <c r="Q51" s="239"/>
      <c r="R51" s="239"/>
    </row>
    <row r="52" spans="1:18" ht="13">
      <c r="A52" s="572">
        <f>A51+1</f>
        <v>22</v>
      </c>
      <c r="B52" s="230"/>
      <c r="C52" s="639"/>
      <c r="D52" s="639"/>
      <c r="E52" s="608" t="s">
        <v>239</v>
      </c>
      <c r="F52" s="1191">
        <f>'27-Allocators'!G10</f>
        <v>6.5693761162178274E-2</v>
      </c>
      <c r="G52" s="464" t="str">
        <f>"27-Allocators, Line "&amp;'27-Allocators'!A10&amp;""</f>
        <v>27-Allocators, Line 5</v>
      </c>
      <c r="H52" s="230"/>
      <c r="I52" s="230"/>
      <c r="J52" s="230"/>
      <c r="K52" s="230"/>
      <c r="L52" s="230"/>
      <c r="M52" s="230"/>
      <c r="N52" s="230"/>
      <c r="O52" s="239"/>
      <c r="P52" s="239"/>
      <c r="Q52" s="239"/>
      <c r="R52" s="239"/>
    </row>
    <row r="53" spans="1:18" ht="13">
      <c r="A53" s="572">
        <f>A52+1</f>
        <v>23</v>
      </c>
      <c r="B53" s="230"/>
      <c r="C53" s="639"/>
      <c r="D53" s="639"/>
      <c r="E53" s="608" t="s">
        <v>1321</v>
      </c>
      <c r="F53" s="1170">
        <f>F51*F52</f>
        <v>105831142.34877566</v>
      </c>
      <c r="G53" s="464" t="str">
        <f>"Line "&amp;A51&amp;" * Line "&amp;A52&amp;""</f>
        <v>Line 21 * Line 22</v>
      </c>
      <c r="H53" s="230"/>
      <c r="I53" s="230"/>
      <c r="J53" s="230"/>
      <c r="K53" s="230"/>
      <c r="L53" s="230"/>
      <c r="M53" s="230"/>
      <c r="O53" s="239"/>
      <c r="P53" s="239"/>
      <c r="Q53" s="239"/>
      <c r="R53" s="239"/>
    </row>
    <row r="54" spans="1:18" ht="13">
      <c r="B54" s="639"/>
      <c r="C54" s="639"/>
      <c r="D54" s="608"/>
      <c r="E54" s="1170"/>
      <c r="F54" s="230"/>
      <c r="G54" s="239"/>
      <c r="H54" s="230"/>
      <c r="I54" s="230"/>
      <c r="J54" s="230"/>
      <c r="K54" s="230"/>
      <c r="L54" s="230"/>
      <c r="M54" s="230"/>
      <c r="O54" s="239"/>
      <c r="P54" s="239"/>
      <c r="Q54" s="239"/>
      <c r="R54" s="239"/>
    </row>
    <row r="55" spans="1:18" ht="13">
      <c r="B55" s="1" t="s">
        <v>2160</v>
      </c>
      <c r="C55" s="639"/>
      <c r="D55" s="1175"/>
      <c r="E55" s="230"/>
      <c r="F55" s="230"/>
      <c r="G55" s="239"/>
      <c r="H55" s="230"/>
      <c r="I55" s="230"/>
      <c r="J55" s="230"/>
      <c r="K55" s="230"/>
      <c r="L55" s="230"/>
      <c r="M55" s="230"/>
      <c r="O55" s="239"/>
      <c r="P55" s="239"/>
      <c r="Q55" s="239"/>
      <c r="R55" s="239"/>
    </row>
    <row r="56" spans="1:18" ht="13">
      <c r="B56" s="230"/>
      <c r="C56" s="230"/>
      <c r="D56" s="230"/>
      <c r="E56" s="230"/>
      <c r="F56" s="230"/>
      <c r="G56" s="239"/>
      <c r="H56" s="230"/>
      <c r="I56" s="230"/>
      <c r="J56" s="230"/>
      <c r="K56" s="230"/>
      <c r="L56" s="230"/>
      <c r="M56" s="230"/>
      <c r="O56" s="946"/>
      <c r="P56" s="1155"/>
      <c r="Q56" s="239"/>
      <c r="R56" s="239"/>
    </row>
    <row r="57" spans="1:18" ht="13">
      <c r="B57" s="230"/>
      <c r="C57" s="230"/>
      <c r="D57" s="230"/>
      <c r="E57" s="230"/>
      <c r="F57" s="367" t="s">
        <v>175</v>
      </c>
      <c r="G57" s="519" t="s">
        <v>179</v>
      </c>
      <c r="H57" s="230"/>
      <c r="I57" s="230"/>
      <c r="J57" s="230"/>
      <c r="K57" s="230"/>
      <c r="L57" s="230"/>
      <c r="M57" s="230"/>
      <c r="O57" s="648"/>
      <c r="P57" s="648"/>
      <c r="Q57" s="239"/>
      <c r="R57" s="239"/>
    </row>
    <row r="58" spans="1:18" ht="13">
      <c r="A58" s="572">
        <f>A53+1</f>
        <v>24</v>
      </c>
      <c r="B58" s="639"/>
      <c r="C58" s="639"/>
      <c r="E58" s="1169" t="s">
        <v>1322</v>
      </c>
      <c r="F58" s="1170">
        <f>E45</f>
        <v>1609893450</v>
      </c>
      <c r="G58" s="464" t="str">
        <f>"Line "&amp;A45&amp;""</f>
        <v>Line 19</v>
      </c>
      <c r="H58" s="230"/>
      <c r="I58" s="230"/>
      <c r="J58" s="230"/>
      <c r="K58" s="230"/>
      <c r="L58" s="230"/>
      <c r="M58" s="230"/>
      <c r="O58" s="1192"/>
      <c r="P58" s="650"/>
      <c r="Q58" s="239"/>
      <c r="R58" s="239"/>
    </row>
    <row r="59" spans="1:18" ht="13">
      <c r="A59" s="572">
        <f>A58+1</f>
        <v>25</v>
      </c>
      <c r="B59" s="639"/>
      <c r="C59" s="639"/>
      <c r="E59" s="608" t="s">
        <v>239</v>
      </c>
      <c r="F59" s="1191">
        <f>'27-Allocators'!G10</f>
        <v>6.5693761162178274E-2</v>
      </c>
      <c r="G59" s="464" t="str">
        <f>"27-Allocators, Line "&amp;'27-Allocators'!A10&amp;""</f>
        <v>27-Allocators, Line 5</v>
      </c>
      <c r="H59" s="230"/>
      <c r="I59" s="230"/>
      <c r="J59" s="230"/>
      <c r="K59" s="230"/>
      <c r="L59" s="230"/>
      <c r="M59" s="230"/>
      <c r="O59" s="1192"/>
      <c r="P59" s="650"/>
      <c r="Q59" s="239"/>
      <c r="R59" s="239"/>
    </row>
    <row r="60" spans="1:18" ht="13">
      <c r="A60" s="572">
        <f>A59+1</f>
        <v>26</v>
      </c>
      <c r="B60" s="639"/>
      <c r="C60" s="639"/>
      <c r="E60" s="608" t="s">
        <v>1323</v>
      </c>
      <c r="F60" s="1170">
        <f>F58*F59</f>
        <v>105759955.80085519</v>
      </c>
      <c r="G60" s="245" t="str">
        <f>"Line "&amp;A58&amp;" * Line "&amp;A59&amp;""</f>
        <v>Line 24 * Line 25</v>
      </c>
      <c r="H60" s="230"/>
      <c r="I60" s="230"/>
      <c r="J60" s="230"/>
      <c r="K60" s="230"/>
      <c r="L60" s="230"/>
      <c r="M60" s="230"/>
      <c r="Q60" s="239"/>
      <c r="R60" s="239"/>
    </row>
    <row r="61" spans="1:18">
      <c r="B61" s="230"/>
      <c r="C61" s="230"/>
      <c r="D61" s="230"/>
      <c r="E61" s="230"/>
      <c r="F61" s="230"/>
      <c r="G61" s="230"/>
      <c r="H61" s="230"/>
      <c r="I61" s="230"/>
      <c r="J61" s="230"/>
      <c r="K61" s="230"/>
      <c r="L61" s="230"/>
      <c r="M61" s="230"/>
      <c r="Q61" s="239"/>
      <c r="R61" s="239"/>
    </row>
    <row r="62" spans="1:18">
      <c r="Q62" s="239"/>
      <c r="R62" s="239"/>
    </row>
    <row r="63" spans="1:18" ht="13">
      <c r="B63" s="1" t="s">
        <v>1535</v>
      </c>
      <c r="Q63" s="239"/>
      <c r="R63" s="239"/>
    </row>
    <row r="64" spans="1:18">
      <c r="Q64" s="239"/>
      <c r="R64" s="239"/>
    </row>
    <row r="65" spans="1:14" ht="13">
      <c r="C65" s="1" t="s">
        <v>2378</v>
      </c>
      <c r="D65" s="476"/>
      <c r="E65" s="476"/>
      <c r="F65" s="476"/>
      <c r="G65" s="476"/>
      <c r="H65" s="476"/>
      <c r="I65" s="476"/>
      <c r="J65" s="476"/>
      <c r="K65" s="476"/>
      <c r="L65" s="476"/>
    </row>
    <row r="66" spans="1:14">
      <c r="A66" s="476"/>
      <c r="C66" s="476"/>
      <c r="D66" s="476"/>
      <c r="E66" s="476"/>
      <c r="F66" s="476"/>
      <c r="G66" s="476"/>
      <c r="H66" s="476"/>
      <c r="I66" s="476"/>
      <c r="J66" s="476"/>
      <c r="K66" s="476"/>
      <c r="L66" s="476"/>
    </row>
    <row r="67" spans="1:14" ht="13">
      <c r="A67" s="394"/>
      <c r="C67" s="84" t="s">
        <v>359</v>
      </c>
      <c r="D67" s="84" t="s">
        <v>343</v>
      </c>
      <c r="E67" s="84" t="s">
        <v>344</v>
      </c>
      <c r="F67" s="84" t="s">
        <v>345</v>
      </c>
      <c r="G67" s="84" t="s">
        <v>346</v>
      </c>
      <c r="H67" s="84" t="s">
        <v>347</v>
      </c>
      <c r="I67" s="84" t="s">
        <v>348</v>
      </c>
      <c r="J67" s="84" t="s">
        <v>537</v>
      </c>
      <c r="K67" s="84" t="s">
        <v>954</v>
      </c>
      <c r="L67" s="84" t="s">
        <v>967</v>
      </c>
      <c r="M67" s="84" t="s">
        <v>970</v>
      </c>
      <c r="N67" s="84" t="s">
        <v>988</v>
      </c>
    </row>
    <row r="68" spans="1:14">
      <c r="A68" s="230"/>
      <c r="C68" s="247"/>
      <c r="D68" s="230"/>
      <c r="E68" s="230"/>
      <c r="F68" s="230"/>
      <c r="G68" s="230"/>
      <c r="H68" s="230"/>
      <c r="I68" s="230"/>
      <c r="J68" s="230"/>
      <c r="K68" s="230"/>
      <c r="L68" s="230"/>
      <c r="N68" s="247" t="s">
        <v>1220</v>
      </c>
    </row>
    <row r="69" spans="1:14" ht="13">
      <c r="A69" s="51"/>
      <c r="C69" s="123" t="s">
        <v>1760</v>
      </c>
      <c r="D69" s="84">
        <v>350.1</v>
      </c>
      <c r="E69" s="84">
        <v>350.2</v>
      </c>
      <c r="F69" s="84">
        <v>352</v>
      </c>
      <c r="G69" s="84">
        <v>353</v>
      </c>
      <c r="H69" s="84">
        <v>354</v>
      </c>
      <c r="I69" s="84">
        <v>355</v>
      </c>
      <c r="J69" s="84">
        <v>356</v>
      </c>
      <c r="K69" s="84">
        <v>357</v>
      </c>
      <c r="L69" s="84">
        <v>358</v>
      </c>
      <c r="M69" s="84">
        <v>359</v>
      </c>
      <c r="N69" s="3" t="s">
        <v>196</v>
      </c>
    </row>
    <row r="70" spans="1:14" ht="13">
      <c r="A70" s="572">
        <f>A60+1</f>
        <v>27</v>
      </c>
      <c r="C70" s="732" t="s">
        <v>2607</v>
      </c>
      <c r="D70" s="490">
        <f>'17-Depreciation'!C48</f>
        <v>0</v>
      </c>
      <c r="E70" s="490">
        <f>'17-Depreciation'!D48</f>
        <v>228612.35939537571</v>
      </c>
      <c r="F70" s="490">
        <f>'17-Depreciation'!E48</f>
        <v>1378537.9555505149</v>
      </c>
      <c r="G70" s="490">
        <f>'17-Depreciation'!F48</f>
        <v>7121346.6466491697</v>
      </c>
      <c r="H70" s="490">
        <f>'17-Depreciation'!G48</f>
        <v>4645576.5832561329</v>
      </c>
      <c r="I70" s="490">
        <f>'17-Depreciation'!H48</f>
        <v>1182175.173197662</v>
      </c>
      <c r="J70" s="490">
        <f>'17-Depreciation'!I48</f>
        <v>3333419.692423882</v>
      </c>
      <c r="K70" s="490">
        <f>'17-Depreciation'!J48</f>
        <v>262475.40275004989</v>
      </c>
      <c r="L70" s="490">
        <f>'17-Depreciation'!K48</f>
        <v>270865.23127521289</v>
      </c>
      <c r="M70" s="490">
        <f>'17-Depreciation'!L48</f>
        <v>225918.68390000003</v>
      </c>
      <c r="N70" s="232">
        <f t="shared" ref="N70:N82" si="5">SUM(D70:M70)</f>
        <v>18648927.728397995</v>
      </c>
    </row>
    <row r="71" spans="1:14" ht="13">
      <c r="A71" s="572">
        <f t="shared" ref="A71:A82" si="6">A70+1</f>
        <v>28</v>
      </c>
      <c r="C71" s="731" t="s">
        <v>2596</v>
      </c>
      <c r="D71" s="490">
        <f>'17-Depreciation'!C49</f>
        <v>0</v>
      </c>
      <c r="E71" s="490">
        <f>'17-Depreciation'!D49</f>
        <v>228551.25158172916</v>
      </c>
      <c r="F71" s="490">
        <f>'17-Depreciation'!E49</f>
        <v>1383520.1998343221</v>
      </c>
      <c r="G71" s="490">
        <f>'17-Depreciation'!F49</f>
        <v>7127811.7498428151</v>
      </c>
      <c r="H71" s="490">
        <f>'17-Depreciation'!G49</f>
        <v>4622814.0171417715</v>
      </c>
      <c r="I71" s="490">
        <f>'17-Depreciation'!H49</f>
        <v>1200730.582529986</v>
      </c>
      <c r="J71" s="490">
        <f>'17-Depreciation'!I49</f>
        <v>3354417.0457676877</v>
      </c>
      <c r="K71" s="490">
        <f>'17-Depreciation'!J49</f>
        <v>262470.27727555815</v>
      </c>
      <c r="L71" s="490">
        <f>'17-Depreciation'!K49</f>
        <v>270859.49461807165</v>
      </c>
      <c r="M71" s="490">
        <f>'17-Depreciation'!L49</f>
        <v>225931.8803756097</v>
      </c>
      <c r="N71" s="232">
        <f t="shared" si="5"/>
        <v>18677106.498967554</v>
      </c>
    </row>
    <row r="72" spans="1:14" ht="13">
      <c r="A72" s="572">
        <f t="shared" si="6"/>
        <v>29</v>
      </c>
      <c r="C72" s="731" t="s">
        <v>2597</v>
      </c>
      <c r="D72" s="490">
        <f>'17-Depreciation'!C50</f>
        <v>0</v>
      </c>
      <c r="E72" s="490">
        <f>'17-Depreciation'!D50</f>
        <v>228580.24865978389</v>
      </c>
      <c r="F72" s="490">
        <f>'17-Depreciation'!E50</f>
        <v>1391902.3430414132</v>
      </c>
      <c r="G72" s="490">
        <f>'17-Depreciation'!F50</f>
        <v>7128008.9375565164</v>
      </c>
      <c r="H72" s="490">
        <f>'17-Depreciation'!G50</f>
        <v>4623596.4899500823</v>
      </c>
      <c r="I72" s="490">
        <f>'17-Depreciation'!H50</f>
        <v>1206648.8636158996</v>
      </c>
      <c r="J72" s="490">
        <f>'17-Depreciation'!I50</f>
        <v>3355460.8525568624</v>
      </c>
      <c r="K72" s="490">
        <f>'17-Depreciation'!J50</f>
        <v>262482.72710641444</v>
      </c>
      <c r="L72" s="490">
        <f>'17-Depreciation'!K50</f>
        <v>270873.59771124303</v>
      </c>
      <c r="M72" s="490">
        <f>'17-Depreciation'!L50</f>
        <v>226155.59237765812</v>
      </c>
      <c r="N72" s="232">
        <f t="shared" si="5"/>
        <v>18693709.652575873</v>
      </c>
    </row>
    <row r="73" spans="1:14" ht="13">
      <c r="A73" s="572">
        <f t="shared" si="6"/>
        <v>30</v>
      </c>
      <c r="C73" s="732" t="s">
        <v>2598</v>
      </c>
      <c r="D73" s="490">
        <f>'17-Depreciation'!C51</f>
        <v>0</v>
      </c>
      <c r="E73" s="490">
        <f>'17-Depreciation'!D51</f>
        <v>228630.08648079736</v>
      </c>
      <c r="F73" s="490">
        <f>'17-Depreciation'!E51</f>
        <v>1405587.9451119264</v>
      </c>
      <c r="G73" s="490">
        <f>'17-Depreciation'!F51</f>
        <v>7149413.268591932</v>
      </c>
      <c r="H73" s="490">
        <f>'17-Depreciation'!G51</f>
        <v>4622965.5940618375</v>
      </c>
      <c r="I73" s="490">
        <f>'17-Depreciation'!H51</f>
        <v>1212791.1076605886</v>
      </c>
      <c r="J73" s="490">
        <f>'17-Depreciation'!I51</f>
        <v>3362066.0341225653</v>
      </c>
      <c r="K73" s="490">
        <f>'17-Depreciation'!J51</f>
        <v>262509.4520696401</v>
      </c>
      <c r="L73" s="490">
        <f>'17-Depreciation'!K51</f>
        <v>270893.80701903166</v>
      </c>
      <c r="M73" s="490">
        <f>'17-Depreciation'!L51</f>
        <v>229572.91373544824</v>
      </c>
      <c r="N73" s="232">
        <f t="shared" si="5"/>
        <v>18744430.208853766</v>
      </c>
    </row>
    <row r="74" spans="1:14" ht="13">
      <c r="A74" s="572">
        <f t="shared" si="6"/>
        <v>31</v>
      </c>
      <c r="C74" s="731" t="s">
        <v>2599</v>
      </c>
      <c r="D74" s="490">
        <f>'17-Depreciation'!C52</f>
        <v>0</v>
      </c>
      <c r="E74" s="490">
        <f>'17-Depreciation'!D52</f>
        <v>228572.62047867334</v>
      </c>
      <c r="F74" s="490">
        <f>'17-Depreciation'!E52</f>
        <v>1406078.4739860191</v>
      </c>
      <c r="G74" s="490">
        <f>'17-Depreciation'!F52</f>
        <v>7172894.0276534716</v>
      </c>
      <c r="H74" s="490">
        <f>'17-Depreciation'!G52</f>
        <v>4630367.1185662486</v>
      </c>
      <c r="I74" s="490">
        <f>'17-Depreciation'!H52</f>
        <v>1215556.4940968805</v>
      </c>
      <c r="J74" s="490">
        <f>'17-Depreciation'!I52</f>
        <v>3403351.0992631856</v>
      </c>
      <c r="K74" s="490">
        <f>'17-Depreciation'!J52</f>
        <v>262524.44808800548</v>
      </c>
      <c r="L74" s="490">
        <f>'17-Depreciation'!K52</f>
        <v>270911.23257800855</v>
      </c>
      <c r="M74" s="490">
        <f>'17-Depreciation'!L52</f>
        <v>229653.29022961471</v>
      </c>
      <c r="N74" s="232">
        <f t="shared" si="5"/>
        <v>18819908.804940108</v>
      </c>
    </row>
    <row r="75" spans="1:14" ht="13">
      <c r="A75" s="572">
        <f t="shared" si="6"/>
        <v>32</v>
      </c>
      <c r="C75" s="731" t="s">
        <v>2600</v>
      </c>
      <c r="D75" s="490">
        <f>'17-Depreciation'!C53</f>
        <v>0</v>
      </c>
      <c r="E75" s="490">
        <f>'17-Depreciation'!D53</f>
        <v>228621.01695637673</v>
      </c>
      <c r="F75" s="490">
        <f>'17-Depreciation'!E53</f>
        <v>1415464.3120513048</v>
      </c>
      <c r="G75" s="490">
        <f>'17-Depreciation'!F53</f>
        <v>7219232.9261552691</v>
      </c>
      <c r="H75" s="490">
        <f>'17-Depreciation'!G53</f>
        <v>4632229.6444100328</v>
      </c>
      <c r="I75" s="490">
        <f>'17-Depreciation'!H53</f>
        <v>1218809.4514561503</v>
      </c>
      <c r="J75" s="490">
        <f>'17-Depreciation'!I53</f>
        <v>3459998.0122468919</v>
      </c>
      <c r="K75" s="490">
        <f>'17-Depreciation'!J53</f>
        <v>262551.16900829953</v>
      </c>
      <c r="L75" s="490">
        <f>'17-Depreciation'!K53</f>
        <v>270939.90434944496</v>
      </c>
      <c r="M75" s="490">
        <f>'17-Depreciation'!L53</f>
        <v>230861.67314648387</v>
      </c>
      <c r="N75" s="232">
        <f t="shared" si="5"/>
        <v>18938708.109780256</v>
      </c>
    </row>
    <row r="76" spans="1:14" ht="13">
      <c r="A76" s="572">
        <f t="shared" si="6"/>
        <v>33</v>
      </c>
      <c r="C76" s="732" t="s">
        <v>2601</v>
      </c>
      <c r="D76" s="490">
        <f>'17-Depreciation'!C54</f>
        <v>0</v>
      </c>
      <c r="E76" s="490">
        <f>'17-Depreciation'!D54</f>
        <v>228814.58860785514</v>
      </c>
      <c r="F76" s="490">
        <f>'17-Depreciation'!E54</f>
        <v>1416681.0179030525</v>
      </c>
      <c r="G76" s="490">
        <f>'17-Depreciation'!F54</f>
        <v>7227168.039173699</v>
      </c>
      <c r="H76" s="490">
        <f>'17-Depreciation'!G54</f>
        <v>4639768.8252293654</v>
      </c>
      <c r="I76" s="490">
        <f>'17-Depreciation'!H54</f>
        <v>1221978.4610997008</v>
      </c>
      <c r="J76" s="490">
        <f>'17-Depreciation'!I54</f>
        <v>3481597.6250372846</v>
      </c>
      <c r="K76" s="490">
        <f>'17-Depreciation'!J54</f>
        <v>262559.83207264525</v>
      </c>
      <c r="L76" s="490">
        <f>'17-Depreciation'!K54</f>
        <v>270963.11807342531</v>
      </c>
      <c r="M76" s="490">
        <f>'17-Depreciation'!L54</f>
        <v>230853.63628217974</v>
      </c>
      <c r="N76" s="232">
        <f t="shared" si="5"/>
        <v>18980385.143479209</v>
      </c>
    </row>
    <row r="77" spans="1:14" ht="13">
      <c r="A77" s="572">
        <f t="shared" si="6"/>
        <v>34</v>
      </c>
      <c r="C77" s="731" t="s">
        <v>2602</v>
      </c>
      <c r="D77" s="490">
        <f>'17-Depreciation'!C55</f>
        <v>0</v>
      </c>
      <c r="E77" s="490">
        <f>'17-Depreciation'!D55</f>
        <v>228919.36645013478</v>
      </c>
      <c r="F77" s="490">
        <f>'17-Depreciation'!E55</f>
        <v>1416461.2086474488</v>
      </c>
      <c r="G77" s="490">
        <f>'17-Depreciation'!F55</f>
        <v>7237096.3833600068</v>
      </c>
      <c r="H77" s="490">
        <f>'17-Depreciation'!G55</f>
        <v>4642461.6208490757</v>
      </c>
      <c r="I77" s="490">
        <f>'17-Depreciation'!H55</f>
        <v>1225662.9368588934</v>
      </c>
      <c r="J77" s="490">
        <f>'17-Depreciation'!I55</f>
        <v>3485150.7713109464</v>
      </c>
      <c r="K77" s="490">
        <f>'17-Depreciation'!J55</f>
        <v>296083.99227671517</v>
      </c>
      <c r="L77" s="490">
        <f>'17-Depreciation'!K55</f>
        <v>191063.28103836524</v>
      </c>
      <c r="M77" s="490">
        <f>'17-Depreciation'!L55</f>
        <v>230895.70302283345</v>
      </c>
      <c r="N77" s="232">
        <f t="shared" si="5"/>
        <v>18953795.263814423</v>
      </c>
    </row>
    <row r="78" spans="1:14" ht="13">
      <c r="A78" s="572">
        <f t="shared" si="6"/>
        <v>35</v>
      </c>
      <c r="C78" s="731" t="s">
        <v>2603</v>
      </c>
      <c r="D78" s="490">
        <f>'17-Depreciation'!C56</f>
        <v>0</v>
      </c>
      <c r="E78" s="490">
        <f>'17-Depreciation'!D56</f>
        <v>228919.66319201153</v>
      </c>
      <c r="F78" s="490">
        <f>'17-Depreciation'!E56</f>
        <v>1445431.9746644211</v>
      </c>
      <c r="G78" s="490">
        <f>'17-Depreciation'!F56</f>
        <v>7283314.9971756665</v>
      </c>
      <c r="H78" s="490">
        <f>'17-Depreciation'!G56</f>
        <v>4646440.7433584258</v>
      </c>
      <c r="I78" s="490">
        <f>'17-Depreciation'!H56</f>
        <v>1227705.3179808378</v>
      </c>
      <c r="J78" s="490">
        <f>'17-Depreciation'!I56</f>
        <v>3482254.1519553871</v>
      </c>
      <c r="K78" s="490">
        <f>'17-Depreciation'!J56</f>
        <v>296093.63022177172</v>
      </c>
      <c r="L78" s="490">
        <f>'17-Depreciation'!K56</f>
        <v>191064.69540330069</v>
      </c>
      <c r="M78" s="490">
        <f>'17-Depreciation'!L56</f>
        <v>230899.84700892246</v>
      </c>
      <c r="N78" s="232">
        <f t="shared" si="5"/>
        <v>19032125.020960744</v>
      </c>
    </row>
    <row r="79" spans="1:14" ht="13">
      <c r="A79" s="572">
        <f t="shared" si="6"/>
        <v>36</v>
      </c>
      <c r="C79" s="732" t="s">
        <v>2604</v>
      </c>
      <c r="D79" s="490">
        <f>'17-Depreciation'!C57</f>
        <v>0</v>
      </c>
      <c r="E79" s="490">
        <f>'17-Depreciation'!D57</f>
        <v>229073.36142823775</v>
      </c>
      <c r="F79" s="490">
        <f>'17-Depreciation'!E57</f>
        <v>1450542.2090249814</v>
      </c>
      <c r="G79" s="490">
        <f>'17-Depreciation'!F57</f>
        <v>7294410.2184481202</v>
      </c>
      <c r="H79" s="490">
        <f>'17-Depreciation'!G57</f>
        <v>4672398.4451776585</v>
      </c>
      <c r="I79" s="490">
        <f>'17-Depreciation'!H57</f>
        <v>1230137.2995539063</v>
      </c>
      <c r="J79" s="490">
        <f>'17-Depreciation'!I57</f>
        <v>3505093.6941982768</v>
      </c>
      <c r="K79" s="490">
        <f>'17-Depreciation'!J57</f>
        <v>296102.26191451994</v>
      </c>
      <c r="L79" s="490">
        <f>'17-Depreciation'!K57</f>
        <v>191066.32872770343</v>
      </c>
      <c r="M79" s="490">
        <f>'17-Depreciation'!L57</f>
        <v>230905.18632848331</v>
      </c>
      <c r="N79" s="232">
        <f t="shared" si="5"/>
        <v>19099729.004801892</v>
      </c>
    </row>
    <row r="80" spans="1:14" ht="13">
      <c r="A80" s="572">
        <f t="shared" si="6"/>
        <v>37</v>
      </c>
      <c r="C80" s="732" t="s">
        <v>2605</v>
      </c>
      <c r="D80" s="490">
        <f>'17-Depreciation'!C58</f>
        <v>0</v>
      </c>
      <c r="E80" s="490">
        <f>'17-Depreciation'!D58</f>
        <v>229078.07512387086</v>
      </c>
      <c r="F80" s="490">
        <f>'17-Depreciation'!E58</f>
        <v>1451798.4218965264</v>
      </c>
      <c r="G80" s="490">
        <f>'17-Depreciation'!F58</f>
        <v>7308788.9654588485</v>
      </c>
      <c r="H80" s="490">
        <f>'17-Depreciation'!G58</f>
        <v>4675342.5012295144</v>
      </c>
      <c r="I80" s="490">
        <f>'17-Depreciation'!H58</f>
        <v>1234442.4465585179</v>
      </c>
      <c r="J80" s="490">
        <f>'17-Depreciation'!I58</f>
        <v>3567988.2940431419</v>
      </c>
      <c r="K80" s="490">
        <f>'17-Depreciation'!J58</f>
        <v>296110.0924460403</v>
      </c>
      <c r="L80" s="490">
        <f>'17-Depreciation'!K58</f>
        <v>191068.03529190188</v>
      </c>
      <c r="M80" s="490">
        <f>'17-Depreciation'!L58</f>
        <v>231736.16443285337</v>
      </c>
      <c r="N80" s="232">
        <f t="shared" si="5"/>
        <v>19186352.996481214</v>
      </c>
    </row>
    <row r="81" spans="1:14" ht="13">
      <c r="A81" s="572">
        <f t="shared" si="6"/>
        <v>38</v>
      </c>
      <c r="C81" s="731" t="s">
        <v>2606</v>
      </c>
      <c r="D81" s="110">
        <f>'17-Depreciation'!C59</f>
        <v>0</v>
      </c>
      <c r="E81" s="110">
        <f>'17-Depreciation'!D59</f>
        <v>229059.78609238341</v>
      </c>
      <c r="F81" s="110">
        <f>'17-Depreciation'!E59</f>
        <v>1451582.3460931433</v>
      </c>
      <c r="G81" s="110">
        <f>'17-Depreciation'!F59</f>
        <v>7324073.9971150579</v>
      </c>
      <c r="H81" s="110">
        <f>'17-Depreciation'!G59</f>
        <v>4678446.5869710734</v>
      </c>
      <c r="I81" s="110">
        <f>'17-Depreciation'!H59</f>
        <v>1237508.1781278511</v>
      </c>
      <c r="J81" s="110">
        <f>'17-Depreciation'!I59</f>
        <v>3574693.2648933171</v>
      </c>
      <c r="K81" s="110">
        <f>'17-Depreciation'!J59</f>
        <v>296125.89753568708</v>
      </c>
      <c r="L81" s="110">
        <f>'17-Depreciation'!K59</f>
        <v>191081.72477446726</v>
      </c>
      <c r="M81" s="110">
        <f>'17-Depreciation'!L59</f>
        <v>232625.7430772339</v>
      </c>
      <c r="N81" s="366">
        <f t="shared" si="5"/>
        <v>19215197.524680212</v>
      </c>
    </row>
    <row r="82" spans="1:14" ht="13">
      <c r="A82" s="572">
        <f t="shared" si="6"/>
        <v>39</v>
      </c>
      <c r="C82" s="1168" t="s">
        <v>4</v>
      </c>
      <c r="D82" s="232">
        <f>SUM(D70:D81)</f>
        <v>0</v>
      </c>
      <c r="E82" s="232">
        <f t="shared" ref="E82:M82" si="7">SUM(E70:E81)</f>
        <v>2745432.4244472296</v>
      </c>
      <c r="F82" s="232">
        <f t="shared" si="7"/>
        <v>17013588.407805074</v>
      </c>
      <c r="G82" s="232">
        <f t="shared" si="7"/>
        <v>86593560.157180578</v>
      </c>
      <c r="H82" s="232">
        <f t="shared" si="7"/>
        <v>55732408.17020122</v>
      </c>
      <c r="I82" s="232">
        <f t="shared" si="7"/>
        <v>14614146.312736873</v>
      </c>
      <c r="J82" s="232">
        <f t="shared" si="7"/>
        <v>41365490.537819423</v>
      </c>
      <c r="K82" s="232">
        <f t="shared" si="7"/>
        <v>3318089.182765347</v>
      </c>
      <c r="L82" s="232">
        <f t="shared" si="7"/>
        <v>2851650.4508601767</v>
      </c>
      <c r="M82" s="232">
        <f t="shared" si="7"/>
        <v>2756010.3139173212</v>
      </c>
      <c r="N82" s="232">
        <f t="shared" si="5"/>
        <v>226990375.95773321</v>
      </c>
    </row>
    <row r="84" spans="1:14" ht="13">
      <c r="C84" s="1" t="s">
        <v>2379</v>
      </c>
      <c r="D84" s="476"/>
      <c r="E84" s="476"/>
      <c r="F84" s="476"/>
      <c r="G84" s="476"/>
      <c r="H84" s="476"/>
      <c r="I84" s="476"/>
      <c r="J84" s="476"/>
      <c r="K84" s="476"/>
      <c r="L84" s="476"/>
    </row>
    <row r="85" spans="1:14">
      <c r="C85" s="476"/>
      <c r="D85" s="476"/>
      <c r="E85" s="476"/>
      <c r="F85" s="476"/>
      <c r="G85" s="476"/>
      <c r="H85" s="476"/>
      <c r="I85" s="476"/>
      <c r="J85" s="476"/>
      <c r="K85" s="476"/>
      <c r="L85" s="476"/>
    </row>
    <row r="86" spans="1:14" ht="13">
      <c r="C86" s="84" t="s">
        <v>359</v>
      </c>
      <c r="D86" s="84" t="s">
        <v>343</v>
      </c>
      <c r="E86" s="84" t="s">
        <v>344</v>
      </c>
      <c r="F86" s="84" t="s">
        <v>345</v>
      </c>
      <c r="G86" s="84" t="s">
        <v>346</v>
      </c>
      <c r="H86" s="84" t="s">
        <v>347</v>
      </c>
      <c r="I86" s="84" t="s">
        <v>348</v>
      </c>
      <c r="J86" s="84" t="s">
        <v>537</v>
      </c>
      <c r="K86" s="84" t="s">
        <v>954</v>
      </c>
      <c r="L86" s="84" t="s">
        <v>967</v>
      </c>
      <c r="M86" s="84" t="s">
        <v>970</v>
      </c>
      <c r="N86" s="84"/>
    </row>
    <row r="87" spans="1:14">
      <c r="C87" s="247"/>
      <c r="D87" s="230"/>
      <c r="E87" s="230"/>
      <c r="F87" s="230"/>
      <c r="G87" s="230"/>
      <c r="H87" s="230"/>
      <c r="I87" s="230"/>
      <c r="J87" s="230"/>
      <c r="K87" s="230"/>
      <c r="L87" s="230"/>
      <c r="N87" s="247"/>
    </row>
    <row r="88" spans="1:14" ht="13">
      <c r="C88" s="123" t="s">
        <v>1760</v>
      </c>
      <c r="D88" s="84">
        <v>350.1</v>
      </c>
      <c r="E88" s="84">
        <v>350.2</v>
      </c>
      <c r="F88" s="84">
        <v>352</v>
      </c>
      <c r="G88" s="84">
        <v>353</v>
      </c>
      <c r="H88" s="84">
        <v>354</v>
      </c>
      <c r="I88" s="84">
        <v>355</v>
      </c>
      <c r="J88" s="84">
        <v>356</v>
      </c>
      <c r="K88" s="84">
        <v>357</v>
      </c>
      <c r="L88" s="84">
        <v>358</v>
      </c>
      <c r="M88" s="84">
        <v>359</v>
      </c>
      <c r="N88" s="3"/>
    </row>
    <row r="89" spans="1:14" ht="13">
      <c r="A89" s="572">
        <f>A82+1</f>
        <v>40</v>
      </c>
      <c r="C89" s="732" t="s">
        <v>2607</v>
      </c>
      <c r="D89" s="1194">
        <f>'6-PlantInService'!C166</f>
        <v>-2.6743512025809559E-4</v>
      </c>
      <c r="E89" s="1194">
        <f>'6-PlantInService'!D166</f>
        <v>-9.7361430763670265E-2</v>
      </c>
      <c r="F89" s="1194">
        <f>'6-PlantInService'!E166</f>
        <v>3.9092066052785972E-2</v>
      </c>
      <c r="G89" s="1194">
        <f>'6-PlantInService'!F166</f>
        <v>1.9756560894764214E-2</v>
      </c>
      <c r="H89" s="1194">
        <f>'6-PlantInService'!G166</f>
        <v>-7.0734083882041124E-2</v>
      </c>
      <c r="I89" s="1194">
        <f>'6-PlantInService'!H166</f>
        <v>7.2493893801191298E-2</v>
      </c>
      <c r="J89" s="1194">
        <f>'6-PlantInService'!I166</f>
        <v>4.7392190130543292E-2</v>
      </c>
      <c r="K89" s="1194">
        <f>'6-PlantInService'!J166</f>
        <v>1.2779033406525758E-2</v>
      </c>
      <c r="L89" s="1194">
        <f>'6-PlantInService'!K166</f>
        <v>-3.670036926656247E-2</v>
      </c>
      <c r="M89" s="1194">
        <f>'6-PlantInService'!L166</f>
        <v>4.5954573560148025E-3</v>
      </c>
      <c r="N89" s="232"/>
    </row>
    <row r="90" spans="1:14" ht="13">
      <c r="A90" s="572">
        <f t="shared" ref="A90:A100" si="8">A89+1</f>
        <v>41</v>
      </c>
      <c r="C90" s="731" t="s">
        <v>2596</v>
      </c>
      <c r="D90" s="1194">
        <f>'6-PlantInService'!C167</f>
        <v>5.4118825517199434E-15</v>
      </c>
      <c r="E90" s="1194">
        <f>'6-PlantInService'!D167</f>
        <v>4.5283934156472173E-2</v>
      </c>
      <c r="F90" s="1194">
        <f>'6-PlantInService'!E167</f>
        <v>6.7148553511805237E-2</v>
      </c>
      <c r="G90" s="1194">
        <f>'6-PlantInService'!F167</f>
        <v>6.2775153948594676E-4</v>
      </c>
      <c r="H90" s="1194">
        <f>'6-PlantInService'!G167</f>
        <v>9.004947288819995E-3</v>
      </c>
      <c r="I90" s="1194">
        <f>'6-PlantInService'!H167</f>
        <v>0.12591814997419998</v>
      </c>
      <c r="J90" s="1194">
        <f>'6-PlantInService'!I167</f>
        <v>3.3012077620900187E-3</v>
      </c>
      <c r="K90" s="1194">
        <f>'6-PlantInService'!J167</f>
        <v>-5.5159764268239986E-3</v>
      </c>
      <c r="L90" s="1194">
        <f>'6-PlantInService'!K167</f>
        <v>6.5028370494933957E-2</v>
      </c>
      <c r="M90" s="1194">
        <f>'6-PlantInService'!L167</f>
        <v>3.0177195096911E-2</v>
      </c>
      <c r="N90" s="232"/>
    </row>
    <row r="91" spans="1:14" ht="13">
      <c r="A91" s="572">
        <f t="shared" si="8"/>
        <v>42</v>
      </c>
      <c r="C91" s="731" t="s">
        <v>2597</v>
      </c>
      <c r="D91" s="1194">
        <f>'6-PlantInService'!C168</f>
        <v>0</v>
      </c>
      <c r="E91" s="1194">
        <f>'6-PlantInService'!D168</f>
        <v>7.6066357979159546E-2</v>
      </c>
      <c r="F91" s="1194">
        <f>'6-PlantInService'!E168</f>
        <v>0.10908014912560157</v>
      </c>
      <c r="G91" s="1194">
        <f>'6-PlantInService'!F168</f>
        <v>6.7670150126017112E-2</v>
      </c>
      <c r="H91" s="1194">
        <f>'6-PlantInService'!G168</f>
        <v>0.11621308462579481</v>
      </c>
      <c r="I91" s="1194">
        <f>'6-PlantInService'!H168</f>
        <v>0.13710750555002885</v>
      </c>
      <c r="J91" s="1194">
        <f>'6-PlantInService'!I168</f>
        <v>1.1659351827088002E-2</v>
      </c>
      <c r="K91" s="1194">
        <f>'6-PlantInService'!J168</f>
        <v>1.4945039799378399</v>
      </c>
      <c r="L91" s="1194">
        <f>'6-PlantInService'!K168</f>
        <v>1.2688219258016615</v>
      </c>
      <c r="M91" s="1194">
        <f>'6-PlantInService'!L168</f>
        <v>3.6715920819669809E-3</v>
      </c>
      <c r="N91" s="232"/>
    </row>
    <row r="92" spans="1:14" ht="13">
      <c r="A92" s="572">
        <f t="shared" si="8"/>
        <v>43</v>
      </c>
      <c r="C92" s="732" t="s">
        <v>2598</v>
      </c>
      <c r="D92" s="1194">
        <f>'6-PlantInService'!C169</f>
        <v>5.2259072793473582E-2</v>
      </c>
      <c r="E92" s="1194">
        <f>'6-PlantInService'!D169</f>
        <v>-9.6042822354992383E-2</v>
      </c>
      <c r="F92" s="1194">
        <f>'6-PlantInService'!E169</f>
        <v>3.5533240743481766E-3</v>
      </c>
      <c r="G92" s="1194">
        <f>'6-PlantInService'!F169</f>
        <v>7.3626988228360404E-2</v>
      </c>
      <c r="H92" s="1194">
        <f>'6-PlantInService'!G169</f>
        <v>0.121693607515071</v>
      </c>
      <c r="I92" s="1194">
        <f>'6-PlantInService'!H169</f>
        <v>7.0777338482083424E-2</v>
      </c>
      <c r="J92" s="1194">
        <f>'6-PlantInService'!I169</f>
        <v>0.18469093242746426</v>
      </c>
      <c r="K92" s="1194">
        <f>'6-PlantInService'!J169</f>
        <v>3.2934302945817173E-2</v>
      </c>
      <c r="L92" s="1194">
        <f>'6-PlantInService'!K169</f>
        <v>1.8436561385442245E-2</v>
      </c>
      <c r="M92" s="1194">
        <f>'6-PlantInService'!L169</f>
        <v>5.450430188119397E-2</v>
      </c>
      <c r="N92" s="232"/>
    </row>
    <row r="93" spans="1:14" ht="13">
      <c r="A93" s="572">
        <f t="shared" si="8"/>
        <v>44</v>
      </c>
      <c r="C93" s="731" t="s">
        <v>2599</v>
      </c>
      <c r="D93" s="1194">
        <f>'6-PlantInService'!C170</f>
        <v>3.0405654579980174E-3</v>
      </c>
      <c r="E93" s="1194">
        <f>'6-PlantInService'!D170</f>
        <v>7.6392131821346881E-2</v>
      </c>
      <c r="F93" s="1194">
        <f>'6-PlantInService'!E170</f>
        <v>7.4813303538407427E-2</v>
      </c>
      <c r="G93" s="1194">
        <f>'6-PlantInService'!F170</f>
        <v>0.14687132115663745</v>
      </c>
      <c r="H93" s="1194">
        <f>'6-PlantInService'!G170</f>
        <v>3.0594531336226999E-2</v>
      </c>
      <c r="I93" s="1194">
        <f>'6-PlantInService'!H170</f>
        <v>7.2571035475635523E-2</v>
      </c>
      <c r="J93" s="1194">
        <f>'6-PlantInService'!I170</f>
        <v>0.25564017095437985</v>
      </c>
      <c r="K93" s="1194">
        <f>'6-PlantInService'!J170</f>
        <v>0.62423704855922169</v>
      </c>
      <c r="L93" s="1194">
        <f>'6-PlantInService'!K170</f>
        <v>0.2782749795330739</v>
      </c>
      <c r="M93" s="1194">
        <f>'6-PlantInService'!L170</f>
        <v>0.45596828988740096</v>
      </c>
      <c r="N93" s="232"/>
    </row>
    <row r="94" spans="1:14" ht="13">
      <c r="A94" s="572">
        <f t="shared" si="8"/>
        <v>45</v>
      </c>
      <c r="C94" s="731" t="s">
        <v>2600</v>
      </c>
      <c r="D94" s="1194">
        <f>'6-PlantInService'!C171</f>
        <v>-9.984181537333308E-4</v>
      </c>
      <c r="E94" s="1194">
        <f>'6-PlantInService'!D171</f>
        <v>0.30553219760206346</v>
      </c>
      <c r="F94" s="1194">
        <f>'6-PlantInService'!E171</f>
        <v>9.686090592991586E-3</v>
      </c>
      <c r="G94" s="1194">
        <f>'6-PlantInService'!F171</f>
        <v>2.5119736001023761E-2</v>
      </c>
      <c r="H94" s="1194">
        <f>'6-PlantInService'!G171</f>
        <v>0.12546653445370501</v>
      </c>
      <c r="I94" s="1194">
        <f>'6-PlantInService'!H171</f>
        <v>7.1515053258186537E-2</v>
      </c>
      <c r="J94" s="1194">
        <f>'6-PlantInService'!I171</f>
        <v>9.7264485164148456E-2</v>
      </c>
      <c r="K94" s="1194">
        <f>'6-PlantInService'!J171</f>
        <v>-2.776183076238119</v>
      </c>
      <c r="L94" s="1194">
        <f>'6-PlantInService'!K171</f>
        <v>-1.379971864659872</v>
      </c>
      <c r="M94" s="1194">
        <f>'6-PlantInService'!L171</f>
        <v>-1.9249288257515858E-3</v>
      </c>
      <c r="N94" s="232"/>
    </row>
    <row r="95" spans="1:14" ht="13">
      <c r="A95" s="572">
        <f t="shared" si="8"/>
        <v>46</v>
      </c>
      <c r="C95" s="732" t="s">
        <v>2601</v>
      </c>
      <c r="D95" s="1194">
        <f>'6-PlantInService'!C172</f>
        <v>0</v>
      </c>
      <c r="E95" s="1194">
        <f>'6-PlantInService'!D172</f>
        <v>0.15663600565115707</v>
      </c>
      <c r="F95" s="1194">
        <f>'6-PlantInService'!E172</f>
        <v>7.3961589470693092E-3</v>
      </c>
      <c r="G95" s="1194">
        <f>'6-PlantInService'!F172</f>
        <v>2.5347936475558757E-2</v>
      </c>
      <c r="H95" s="1194">
        <f>'6-PlantInService'!G172</f>
        <v>4.1484885280788406E-2</v>
      </c>
      <c r="I95" s="1194">
        <f>'6-PlantInService'!H172</f>
        <v>8.0119361793761057E-2</v>
      </c>
      <c r="J95" s="1194">
        <f>'6-PlantInService'!I172</f>
        <v>1.4921103568743068E-2</v>
      </c>
      <c r="K95" s="1194">
        <f>'6-PlantInService'!J172</f>
        <v>0.60373430770611247</v>
      </c>
      <c r="L95" s="1194">
        <f>'6-PlantInService'!K172</f>
        <v>-0.71388015015986239</v>
      </c>
      <c r="M95" s="1194">
        <f>'6-PlantInService'!L172</f>
        <v>2.108716602518549E-3</v>
      </c>
      <c r="N95" s="232"/>
    </row>
    <row r="96" spans="1:14" ht="13">
      <c r="A96" s="572">
        <f t="shared" si="8"/>
        <v>47</v>
      </c>
      <c r="C96" s="731" t="s">
        <v>2602</v>
      </c>
      <c r="D96" s="1194">
        <f>'6-PlantInService'!C173</f>
        <v>0</v>
      </c>
      <c r="E96" s="1194">
        <f>'6-PlantInService'!D173</f>
        <v>4.6839657844687134E-4</v>
      </c>
      <c r="F96" s="1194">
        <f>'6-PlantInService'!E173</f>
        <v>0.23079294227325831</v>
      </c>
      <c r="G96" s="1194">
        <f>'6-PlantInService'!F173</f>
        <v>0.14639379102960479</v>
      </c>
      <c r="H96" s="1194">
        <f>'6-PlantInService'!G173</f>
        <v>6.5987198358731139E-2</v>
      </c>
      <c r="I96" s="1194">
        <f>'6-PlantInService'!H173</f>
        <v>4.5774148602250375E-2</v>
      </c>
      <c r="J96" s="1194">
        <f>'6-PlantInService'!I173</f>
        <v>-1.4085417533429123E-2</v>
      </c>
      <c r="K96" s="1194">
        <f>'6-PlantInService'!J173</f>
        <v>2.1073405520642891E-4</v>
      </c>
      <c r="L96" s="1194">
        <f>'6-PlantInService'!K173</f>
        <v>0.79862369828990631</v>
      </c>
      <c r="M96" s="1194">
        <f>'6-PlantInService'!L173</f>
        <v>4.0874869491382945E-4</v>
      </c>
      <c r="N96" s="232"/>
    </row>
    <row r="97" spans="1:14" ht="13">
      <c r="A97" s="572">
        <f t="shared" si="8"/>
        <v>48</v>
      </c>
      <c r="C97" s="731" t="s">
        <v>2603</v>
      </c>
      <c r="D97" s="1194">
        <f>'6-PlantInService'!C174</f>
        <v>5.3530606285733255E-4</v>
      </c>
      <c r="E97" s="1194">
        <f>'6-PlantInService'!D174</f>
        <v>0.24260724085058696</v>
      </c>
      <c r="F97" s="1194">
        <f>'6-PlantInService'!E174</f>
        <v>2.0337457085401588E-2</v>
      </c>
      <c r="G97" s="1194">
        <f>'6-PlantInService'!F174</f>
        <v>3.5051085341818056E-2</v>
      </c>
      <c r="H97" s="1194">
        <f>'6-PlantInService'!G174</f>
        <v>0.43353980563093547</v>
      </c>
      <c r="I97" s="1194">
        <f>'6-PlantInService'!H174</f>
        <v>5.5155073727196087E-2</v>
      </c>
      <c r="J97" s="1194">
        <f>'6-PlantInService'!I174</f>
        <v>0.10278649060546297</v>
      </c>
      <c r="K97" s="1194">
        <f>'6-PlantInService'!J174</f>
        <v>0.1134095070231257</v>
      </c>
      <c r="L97" s="1194">
        <f>'6-PlantInService'!K174</f>
        <v>0.47047863591321148</v>
      </c>
      <c r="M97" s="1194">
        <f>'6-PlantInService'!L174</f>
        <v>2.9377343339030602E-3</v>
      </c>
      <c r="N97" s="232"/>
    </row>
    <row r="98" spans="1:14" ht="13">
      <c r="A98" s="572">
        <f t="shared" si="8"/>
        <v>49</v>
      </c>
      <c r="C98" s="732" t="s">
        <v>2604</v>
      </c>
      <c r="D98" s="1194">
        <f>'6-PlantInService'!C175</f>
        <v>-3.6365743102345584E-4</v>
      </c>
      <c r="E98" s="1194">
        <f>'6-PlantInService'!D175</f>
        <v>5.5958762008581856E-3</v>
      </c>
      <c r="F98" s="1194">
        <f>'6-PlantInService'!E175</f>
        <v>9.8135609677893754E-3</v>
      </c>
      <c r="G98" s="1194">
        <f>'6-PlantInService'!F175</f>
        <v>4.5596201214495639E-2</v>
      </c>
      <c r="H98" s="1194">
        <f>'6-PlantInService'!G175</f>
        <v>3.6917550394938187E-2</v>
      </c>
      <c r="I98" s="1194">
        <f>'6-PlantInService'!H175</f>
        <v>7.2228416898204237E-2</v>
      </c>
      <c r="J98" s="1194">
        <f>'6-PlantInService'!I175</f>
        <v>0.27994803317675698</v>
      </c>
      <c r="K98" s="1194">
        <f>'6-PlantInService'!J175</f>
        <v>0.33355476042933146</v>
      </c>
      <c r="L98" s="1194">
        <f>'6-PlantInService'!K175</f>
        <v>0.23447317331272649</v>
      </c>
      <c r="M98" s="1194">
        <f>'6-PlantInService'!L175</f>
        <v>0.12703848693265535</v>
      </c>
      <c r="N98" s="232"/>
    </row>
    <row r="99" spans="1:14" ht="13">
      <c r="A99" s="572">
        <f t="shared" si="8"/>
        <v>50</v>
      </c>
      <c r="C99" s="732" t="s">
        <v>2605</v>
      </c>
      <c r="D99" s="1194">
        <f>'6-PlantInService'!C176</f>
        <v>0.94672141525112841</v>
      </c>
      <c r="E99" s="1194">
        <f>'6-PlantInService'!D176</f>
        <v>-2.8974557995447934E-2</v>
      </c>
      <c r="F99" s="1194">
        <f>'6-PlantInService'!E176</f>
        <v>-1.7118924302309754E-3</v>
      </c>
      <c r="G99" s="1194">
        <f>'6-PlantInService'!F176</f>
        <v>4.8456388949455781E-2</v>
      </c>
      <c r="H99" s="1194">
        <f>'6-PlantInService'!G176</f>
        <v>4.3124750026225435E-2</v>
      </c>
      <c r="I99" s="1194">
        <f>'6-PlantInService'!H176</f>
        <v>8.0099089659661227E-2</v>
      </c>
      <c r="J99" s="1194">
        <f>'6-PlantInService'!I176</f>
        <v>2.338455996085255E-2</v>
      </c>
      <c r="K99" s="1194">
        <f>'6-PlantInService'!J176</f>
        <v>1.9183401024846124E-2</v>
      </c>
      <c r="L99" s="1194">
        <f>'6-PlantInService'!K176</f>
        <v>3.1424860001533356E-2</v>
      </c>
      <c r="M99" s="1194">
        <f>'6-PlantInService'!L176</f>
        <v>0.30286174040609265</v>
      </c>
      <c r="N99" s="232"/>
    </row>
    <row r="100" spans="1:14" ht="13">
      <c r="A100" s="572">
        <f t="shared" si="8"/>
        <v>51</v>
      </c>
      <c r="C100" s="731" t="s">
        <v>2606</v>
      </c>
      <c r="D100" s="1194">
        <f>'6-PlantInService'!C177</f>
        <v>-9.2684886044791081E-4</v>
      </c>
      <c r="E100" s="1194">
        <f>'6-PlantInService'!D177</f>
        <v>0.31379667027401942</v>
      </c>
      <c r="F100" s="1194">
        <f>'6-PlantInService'!E177</f>
        <v>0.42999828626077241</v>
      </c>
      <c r="G100" s="1194">
        <f>'6-PlantInService'!F177</f>
        <v>0.36548208904277807</v>
      </c>
      <c r="H100" s="1194">
        <f>'6-PlantInService'!G177</f>
        <v>4.6707188970804669E-2</v>
      </c>
      <c r="I100" s="1194">
        <f>'6-PlantInService'!H177</f>
        <v>0.11624093277760139</v>
      </c>
      <c r="J100" s="1194">
        <f>'6-PlantInService'!I177</f>
        <v>-6.9031080441003603E-3</v>
      </c>
      <c r="K100" s="1194">
        <f>'6-PlantInService'!J177</f>
        <v>0.54715197757691625</v>
      </c>
      <c r="L100" s="1194">
        <f>'6-PlantInService'!K177</f>
        <v>-3.5009820646192388E-2</v>
      </c>
      <c r="M100" s="1194">
        <f>'6-PlantInService'!L177</f>
        <v>1.7652665552180424E-2</v>
      </c>
      <c r="N100" s="366"/>
    </row>
    <row r="102" spans="1:14" ht="13">
      <c r="C102" s="1" t="s">
        <v>2380</v>
      </c>
    </row>
    <row r="104" spans="1:14">
      <c r="C104" s="480" t="s">
        <v>2381</v>
      </c>
    </row>
    <row r="105" spans="1:14" ht="13">
      <c r="C105" s="16"/>
      <c r="D105" s="84">
        <v>350.1</v>
      </c>
      <c r="E105" s="84">
        <v>350.2</v>
      </c>
      <c r="F105" s="84">
        <v>352</v>
      </c>
      <c r="G105" s="84">
        <v>353</v>
      </c>
      <c r="H105" s="84">
        <v>354</v>
      </c>
      <c r="I105" s="84">
        <v>355</v>
      </c>
      <c r="J105" s="84">
        <v>356</v>
      </c>
      <c r="K105" s="84">
        <v>357</v>
      </c>
      <c r="L105" s="84">
        <v>358</v>
      </c>
      <c r="M105" s="84">
        <v>359</v>
      </c>
      <c r="N105" s="3" t="s">
        <v>196</v>
      </c>
    </row>
    <row r="106" spans="1:14" ht="13">
      <c r="A106" s="572">
        <f>A100+1</f>
        <v>52</v>
      </c>
      <c r="C106" s="16"/>
      <c r="D106" s="7">
        <f t="shared" ref="D106:M106" si="9">D24-D12</f>
        <v>0</v>
      </c>
      <c r="E106" s="7">
        <f t="shared" si="9"/>
        <v>2808522.1103211865</v>
      </c>
      <c r="F106" s="7">
        <f t="shared" si="9"/>
        <v>12203553.452866524</v>
      </c>
      <c r="G106" s="7">
        <f t="shared" si="9"/>
        <v>42893422.151624203</v>
      </c>
      <c r="H106" s="7">
        <f t="shared" si="9"/>
        <v>48401457.578295708</v>
      </c>
      <c r="I106" s="7">
        <f t="shared" si="9"/>
        <v>2875749.3352780491</v>
      </c>
      <c r="J106" s="7">
        <f t="shared" si="9"/>
        <v>36790962.721366167</v>
      </c>
      <c r="K106" s="7">
        <f t="shared" si="9"/>
        <v>3203720.5840972923</v>
      </c>
      <c r="L106" s="7">
        <f t="shared" si="9"/>
        <v>3614050.3658869024</v>
      </c>
      <c r="M106" s="7">
        <f t="shared" si="9"/>
        <v>2921390.074368827</v>
      </c>
      <c r="N106" s="7">
        <f>SUM(D106:M106)</f>
        <v>155712828.37410486</v>
      </c>
    </row>
    <row r="107" spans="1:14">
      <c r="C107" s="480" t="s">
        <v>2382</v>
      </c>
    </row>
    <row r="108" spans="1:14" ht="13">
      <c r="C108" s="16"/>
      <c r="D108" s="84">
        <v>350.1</v>
      </c>
      <c r="E108" s="84">
        <v>350.2</v>
      </c>
      <c r="F108" s="84">
        <v>352</v>
      </c>
      <c r="G108" s="84">
        <v>353</v>
      </c>
      <c r="H108" s="84">
        <v>354</v>
      </c>
      <c r="I108" s="84">
        <v>355</v>
      </c>
      <c r="J108" s="84">
        <v>356</v>
      </c>
      <c r="K108" s="84">
        <v>357</v>
      </c>
      <c r="L108" s="84">
        <v>358</v>
      </c>
      <c r="M108" s="84">
        <v>359</v>
      </c>
      <c r="N108" s="3" t="s">
        <v>196</v>
      </c>
    </row>
    <row r="109" spans="1:14" ht="13">
      <c r="A109" s="572">
        <f>A106+1</f>
        <v>53</v>
      </c>
      <c r="C109" s="16"/>
      <c r="D109" s="7">
        <f t="shared" ref="D109:M109" si="10">D82</f>
        <v>0</v>
      </c>
      <c r="E109" s="7">
        <f t="shared" si="10"/>
        <v>2745432.4244472296</v>
      </c>
      <c r="F109" s="7">
        <f t="shared" si="10"/>
        <v>17013588.407805074</v>
      </c>
      <c r="G109" s="7">
        <f t="shared" si="10"/>
        <v>86593560.157180578</v>
      </c>
      <c r="H109" s="7">
        <f t="shared" si="10"/>
        <v>55732408.17020122</v>
      </c>
      <c r="I109" s="7">
        <f t="shared" si="10"/>
        <v>14614146.312736873</v>
      </c>
      <c r="J109" s="7">
        <f t="shared" si="10"/>
        <v>41365490.537819423</v>
      </c>
      <c r="K109" s="7">
        <f t="shared" si="10"/>
        <v>3318089.182765347</v>
      </c>
      <c r="L109" s="7">
        <f t="shared" si="10"/>
        <v>2851650.4508601767</v>
      </c>
      <c r="M109" s="7">
        <f t="shared" si="10"/>
        <v>2756010.3139173212</v>
      </c>
      <c r="N109" s="7">
        <f>SUM(D109:M109)</f>
        <v>226990375.95773321</v>
      </c>
    </row>
    <row r="110" spans="1:14">
      <c r="C110" s="480" t="s">
        <v>2383</v>
      </c>
    </row>
    <row r="111" spans="1:14" ht="13">
      <c r="D111" s="84">
        <v>350.1</v>
      </c>
      <c r="E111" s="84">
        <v>350.2</v>
      </c>
      <c r="F111" s="84">
        <v>352</v>
      </c>
      <c r="G111" s="84">
        <v>353</v>
      </c>
      <c r="H111" s="84">
        <v>354</v>
      </c>
      <c r="I111" s="84">
        <v>355</v>
      </c>
      <c r="J111" s="84">
        <v>356</v>
      </c>
      <c r="K111" s="84">
        <v>357</v>
      </c>
      <c r="L111" s="84">
        <v>358</v>
      </c>
      <c r="M111" s="84">
        <v>359</v>
      </c>
      <c r="N111" s="3" t="s">
        <v>196</v>
      </c>
    </row>
    <row r="112" spans="1:14" ht="13">
      <c r="A112" s="572">
        <f>A109+1</f>
        <v>54</v>
      </c>
      <c r="D112" s="7">
        <f t="shared" ref="D112:M112" si="11">D106-D109</f>
        <v>0</v>
      </c>
      <c r="E112" s="7">
        <f t="shared" si="11"/>
        <v>63089.685873956885</v>
      </c>
      <c r="F112" s="7">
        <f t="shared" si="11"/>
        <v>-4810034.9549385495</v>
      </c>
      <c r="G112" s="7">
        <f t="shared" si="11"/>
        <v>-43700138.005556375</v>
      </c>
      <c r="H112" s="7">
        <f t="shared" si="11"/>
        <v>-7330950.5919055119</v>
      </c>
      <c r="I112" s="7">
        <f t="shared" si="11"/>
        <v>-11738396.977458823</v>
      </c>
      <c r="J112" s="7">
        <f t="shared" si="11"/>
        <v>-4574527.8164532557</v>
      </c>
      <c r="K112" s="7">
        <f t="shared" si="11"/>
        <v>-114368.59866805468</v>
      </c>
      <c r="L112" s="7">
        <f t="shared" si="11"/>
        <v>762399.91502672574</v>
      </c>
      <c r="M112" s="7">
        <f t="shared" si="11"/>
        <v>165379.76045150589</v>
      </c>
      <c r="N112" s="7">
        <f>SUM(D112:M112)</f>
        <v>-71277547.583628386</v>
      </c>
    </row>
    <row r="114" spans="1:14" ht="13">
      <c r="C114" s="1" t="s">
        <v>2384</v>
      </c>
      <c r="D114" s="476"/>
      <c r="E114" s="476"/>
      <c r="F114" s="476"/>
      <c r="G114" s="476"/>
      <c r="H114" s="476"/>
      <c r="I114" s="476"/>
      <c r="J114" s="476"/>
      <c r="K114" s="476"/>
      <c r="L114" s="476"/>
    </row>
    <row r="115" spans="1:14">
      <c r="C115" s="476"/>
      <c r="D115" s="476"/>
      <c r="E115" s="476"/>
      <c r="F115" s="476"/>
      <c r="G115" s="476"/>
      <c r="H115" s="476"/>
      <c r="I115" s="476"/>
      <c r="J115" s="476"/>
      <c r="K115" s="476"/>
      <c r="L115" s="476"/>
    </row>
    <row r="116" spans="1:14" ht="13">
      <c r="C116" s="84" t="s">
        <v>359</v>
      </c>
      <c r="D116" s="84" t="s">
        <v>343</v>
      </c>
      <c r="E116" s="84" t="s">
        <v>344</v>
      </c>
      <c r="F116" s="84" t="s">
        <v>345</v>
      </c>
      <c r="G116" s="84" t="s">
        <v>346</v>
      </c>
      <c r="H116" s="84" t="s">
        <v>347</v>
      </c>
      <c r="I116" s="84" t="s">
        <v>348</v>
      </c>
      <c r="J116" s="84" t="s">
        <v>537</v>
      </c>
      <c r="K116" s="84" t="s">
        <v>954</v>
      </c>
      <c r="L116" s="84" t="s">
        <v>967</v>
      </c>
      <c r="M116" s="84" t="s">
        <v>970</v>
      </c>
      <c r="N116" s="84" t="s">
        <v>988</v>
      </c>
    </row>
    <row r="117" spans="1:14">
      <c r="C117" s="247"/>
      <c r="D117" s="230"/>
      <c r="E117" s="230"/>
      <c r="F117" s="230"/>
      <c r="G117" s="230"/>
      <c r="H117" s="230"/>
      <c r="I117" s="230"/>
      <c r="J117" s="230"/>
      <c r="K117" s="230"/>
      <c r="L117" s="230"/>
      <c r="N117" s="247" t="s">
        <v>1220</v>
      </c>
    </row>
    <row r="118" spans="1:14" ht="13">
      <c r="C118" s="123" t="s">
        <v>1760</v>
      </c>
      <c r="D118" s="84">
        <v>350.1</v>
      </c>
      <c r="E118" s="84">
        <v>350.2</v>
      </c>
      <c r="F118" s="84">
        <v>352</v>
      </c>
      <c r="G118" s="84">
        <v>353</v>
      </c>
      <c r="H118" s="84">
        <v>354</v>
      </c>
      <c r="I118" s="84">
        <v>355</v>
      </c>
      <c r="J118" s="84">
        <v>356</v>
      </c>
      <c r="K118" s="84">
        <v>357</v>
      </c>
      <c r="L118" s="84">
        <v>358</v>
      </c>
      <c r="M118" s="84">
        <v>359</v>
      </c>
      <c r="N118" s="3" t="s">
        <v>196</v>
      </c>
    </row>
    <row r="119" spans="1:14" ht="13">
      <c r="A119" s="572">
        <f>A112+1</f>
        <v>55</v>
      </c>
      <c r="C119" s="732" t="s">
        <v>2607</v>
      </c>
      <c r="D119" s="234">
        <f>D$112*D89</f>
        <v>0</v>
      </c>
      <c r="E119" s="234">
        <f t="shared" ref="E119:M119" si="12">E$112*E89</f>
        <v>-6142.5020831189595</v>
      </c>
      <c r="F119" s="234">
        <f t="shared" si="12"/>
        <v>-188034.20417466716</v>
      </c>
      <c r="G119" s="234">
        <f t="shared" si="12"/>
        <v>-863364.43761637446</v>
      </c>
      <c r="H119" s="234">
        <f t="shared" si="12"/>
        <v>518548.07410294353</v>
      </c>
      <c r="I119" s="234">
        <f t="shared" si="12"/>
        <v>-850962.10388012487</v>
      </c>
      <c r="J119" s="234">
        <f t="shared" si="12"/>
        <v>-216796.89203481175</v>
      </c>
      <c r="K119" s="234">
        <f t="shared" si="12"/>
        <v>-1461.520143036608</v>
      </c>
      <c r="L119" s="234">
        <f t="shared" si="12"/>
        <v>-27980.358410276684</v>
      </c>
      <c r="M119" s="234">
        <f t="shared" si="12"/>
        <v>759.99563670283862</v>
      </c>
      <c r="N119" s="232">
        <f>SUM(D119:M119)</f>
        <v>-1635433.9486027639</v>
      </c>
    </row>
    <row r="120" spans="1:14" ht="13">
      <c r="A120" s="572">
        <f t="shared" ref="A120:A131" si="13">A119+1</f>
        <v>56</v>
      </c>
      <c r="C120" s="731" t="s">
        <v>2596</v>
      </c>
      <c r="D120" s="234">
        <f t="shared" ref="D120:M130" si="14">D$112*D90</f>
        <v>0</v>
      </c>
      <c r="E120" s="234">
        <f t="shared" si="14"/>
        <v>2856.9491810687764</v>
      </c>
      <c r="F120" s="234">
        <f t="shared" si="14"/>
        <v>-322986.8895653449</v>
      </c>
      <c r="G120" s="234">
        <f t="shared" si="14"/>
        <v>-27432.828908736345</v>
      </c>
      <c r="H120" s="234">
        <f t="shared" si="14"/>
        <v>-66014.823657052882</v>
      </c>
      <c r="I120" s="234">
        <f t="shared" si="14"/>
        <v>-1478077.2310643559</v>
      </c>
      <c r="J120" s="234">
        <f t="shared" si="14"/>
        <v>-15101.466735572192</v>
      </c>
      <c r="K120" s="234">
        <f t="shared" si="14"/>
        <v>630.85449422188412</v>
      </c>
      <c r="L120" s="234">
        <f t="shared" si="14"/>
        <v>49577.624139664091</v>
      </c>
      <c r="M120" s="234">
        <f t="shared" si="14"/>
        <v>4990.6972962254995</v>
      </c>
      <c r="N120" s="232">
        <f t="shared" ref="N120:N130" si="15">SUM(D120:M120)</f>
        <v>-1851557.114819882</v>
      </c>
    </row>
    <row r="121" spans="1:14" ht="13">
      <c r="A121" s="572">
        <f t="shared" si="13"/>
        <v>57</v>
      </c>
      <c r="C121" s="731" t="s">
        <v>2597</v>
      </c>
      <c r="D121" s="234">
        <f t="shared" si="14"/>
        <v>0</v>
      </c>
      <c r="E121" s="234">
        <f t="shared" si="14"/>
        <v>4799.0026304811299</v>
      </c>
      <c r="F121" s="234">
        <f t="shared" si="14"/>
        <v>-524679.33018405328</v>
      </c>
      <c r="G121" s="234">
        <f t="shared" si="14"/>
        <v>-2957194.8993636658</v>
      </c>
      <c r="H121" s="234">
        <f t="shared" si="14"/>
        <v>-851952.38152463583</v>
      </c>
      <c r="I121" s="234">
        <f t="shared" si="14"/>
        <v>-1609422.3287353774</v>
      </c>
      <c r="J121" s="234">
        <f t="shared" si="14"/>
        <v>-53336.029254829155</v>
      </c>
      <c r="K121" s="234">
        <f t="shared" si="14"/>
        <v>-170924.32588932125</v>
      </c>
      <c r="L121" s="234">
        <f t="shared" si="14"/>
        <v>967349.72841523332</v>
      </c>
      <c r="M121" s="234">
        <f t="shared" si="14"/>
        <v>607.20701899134508</v>
      </c>
      <c r="N121" s="232">
        <f t="shared" si="15"/>
        <v>-5194753.3568871776</v>
      </c>
    </row>
    <row r="122" spans="1:14" ht="13">
      <c r="A122" s="572">
        <f t="shared" si="13"/>
        <v>58</v>
      </c>
      <c r="C122" s="732" t="s">
        <v>2598</v>
      </c>
      <c r="D122" s="234">
        <f t="shared" si="14"/>
        <v>0</v>
      </c>
      <c r="E122" s="234">
        <f t="shared" si="14"/>
        <v>-6059.3114928247132</v>
      </c>
      <c r="F122" s="234">
        <f t="shared" si="14"/>
        <v>-17091.613003839393</v>
      </c>
      <c r="G122" s="234">
        <f t="shared" si="14"/>
        <v>-3217509.5465128245</v>
      </c>
      <c r="H122" s="234">
        <f t="shared" si="14"/>
        <v>-892129.82404372678</v>
      </c>
      <c r="I122" s="234">
        <f t="shared" si="14"/>
        <v>-830812.49611066817</v>
      </c>
      <c r="J122" s="234">
        <f t="shared" si="14"/>
        <v>-844873.80783612386</v>
      </c>
      <c r="K122" s="234">
        <f t="shared" si="14"/>
        <v>-3766.6500760222953</v>
      </c>
      <c r="L122" s="234">
        <f t="shared" si="14"/>
        <v>14056.032833646181</v>
      </c>
      <c r="M122" s="234">
        <f t="shared" si="14"/>
        <v>9013.90838868842</v>
      </c>
      <c r="N122" s="232">
        <f t="shared" si="15"/>
        <v>-5789173.3078536959</v>
      </c>
    </row>
    <row r="123" spans="1:14" ht="13">
      <c r="A123" s="572">
        <f t="shared" si="13"/>
        <v>59</v>
      </c>
      <c r="C123" s="731" t="s">
        <v>2599</v>
      </c>
      <c r="D123" s="234">
        <f t="shared" si="14"/>
        <v>0</v>
      </c>
      <c r="E123" s="234">
        <f t="shared" si="14"/>
        <v>4819.5555998506807</v>
      </c>
      <c r="F123" s="234">
        <f t="shared" si="14"/>
        <v>-359854.60511416761</v>
      </c>
      <c r="G123" s="234">
        <f t="shared" si="14"/>
        <v>-6418297.0036034482</v>
      </c>
      <c r="H123" s="234">
        <f t="shared" si="14"/>
        <v>-224286.99760838505</v>
      </c>
      <c r="I123" s="234">
        <f t="shared" si="14"/>
        <v>-851867.6234782571</v>
      </c>
      <c r="J123" s="234">
        <f t="shared" si="14"/>
        <v>-1169433.0730336762</v>
      </c>
      <c r="K123" s="234">
        <f t="shared" si="14"/>
        <v>-71393.116480400582</v>
      </c>
      <c r="L123" s="234">
        <f t="shared" si="14"/>
        <v>212156.82075007938</v>
      </c>
      <c r="M123" s="234">
        <f t="shared" si="14"/>
        <v>75407.92655506116</v>
      </c>
      <c r="N123" s="232">
        <f t="shared" si="15"/>
        <v>-8802748.1164133418</v>
      </c>
    </row>
    <row r="124" spans="1:14" ht="13">
      <c r="A124" s="572">
        <f t="shared" si="13"/>
        <v>60</v>
      </c>
      <c r="C124" s="731" t="s">
        <v>2600</v>
      </c>
      <c r="D124" s="234">
        <f t="shared" si="14"/>
        <v>0</v>
      </c>
      <c r="E124" s="234">
        <f t="shared" si="14"/>
        <v>19275.930371093906</v>
      </c>
      <c r="F124" s="234">
        <f t="shared" si="14"/>
        <v>-46590.434328990996</v>
      </c>
      <c r="G124" s="234">
        <f t="shared" si="14"/>
        <v>-1097735.9299078812</v>
      </c>
      <c r="H124" s="234">
        <f t="shared" si="14"/>
        <v>-919788.96501772199</v>
      </c>
      <c r="I124" s="234">
        <f t="shared" si="14"/>
        <v>-839472.08500870364</v>
      </c>
      <c r="J124" s="234">
        <f t="shared" si="14"/>
        <v>-444939.09293640213</v>
      </c>
      <c r="K124" s="234">
        <f t="shared" si="14"/>
        <v>317508.16807532287</v>
      </c>
      <c r="L124" s="234">
        <f t="shared" si="14"/>
        <v>-1052090.4323559587</v>
      </c>
      <c r="M124" s="234">
        <f t="shared" si="14"/>
        <v>-318.34426808899582</v>
      </c>
      <c r="N124" s="232">
        <f t="shared" si="15"/>
        <v>-4064151.1853773315</v>
      </c>
    </row>
    <row r="125" spans="1:14" ht="13">
      <c r="A125" s="572">
        <f t="shared" si="13"/>
        <v>61</v>
      </c>
      <c r="C125" s="732" t="s">
        <v>2601</v>
      </c>
      <c r="D125" s="234">
        <f t="shared" si="14"/>
        <v>0</v>
      </c>
      <c r="E125" s="234">
        <f t="shared" si="14"/>
        <v>9882.1163930828352</v>
      </c>
      <c r="F125" s="234">
        <f t="shared" si="14"/>
        <v>-35575.783067684875</v>
      </c>
      <c r="G125" s="234">
        <f t="shared" si="14"/>
        <v>-1107708.322137994</v>
      </c>
      <c r="H125" s="234">
        <f t="shared" si="14"/>
        <v>-304123.64430432802</v>
      </c>
      <c r="I125" s="234">
        <f t="shared" si="14"/>
        <v>-940472.8743158147</v>
      </c>
      <c r="J125" s="234">
        <f t="shared" si="14"/>
        <v>-68257.003327395112</v>
      </c>
      <c r="K125" s="234">
        <f t="shared" si="14"/>
        <v>-69048.246740176211</v>
      </c>
      <c r="L125" s="234">
        <f t="shared" si="14"/>
        <v>-544262.16582114529</v>
      </c>
      <c r="M125" s="234">
        <f t="shared" si="14"/>
        <v>348.73904658463101</v>
      </c>
      <c r="N125" s="232">
        <f t="shared" si="15"/>
        <v>-3059217.1842748709</v>
      </c>
    </row>
    <row r="126" spans="1:14" ht="13">
      <c r="A126" s="572">
        <f t="shared" si="13"/>
        <v>62</v>
      </c>
      <c r="C126" s="731" t="s">
        <v>2602</v>
      </c>
      <c r="D126" s="234">
        <f t="shared" si="14"/>
        <v>0</v>
      </c>
      <c r="E126" s="234">
        <f t="shared" si="14"/>
        <v>29.550992998649317</v>
      </c>
      <c r="F126" s="234">
        <f t="shared" si="14"/>
        <v>-1110122.1196874874</v>
      </c>
      <c r="G126" s="234">
        <f t="shared" si="14"/>
        <v>-6397428.8711503102</v>
      </c>
      <c r="H126" s="234">
        <f t="shared" si="14"/>
        <v>-483748.89086612646</v>
      </c>
      <c r="I126" s="234">
        <f t="shared" si="14"/>
        <v>-537315.12759840686</v>
      </c>
      <c r="J126" s="234">
        <f t="shared" si="14"/>
        <v>64434.134313029928</v>
      </c>
      <c r="K126" s="234">
        <f t="shared" si="14"/>
        <v>-24.101358585595747</v>
      </c>
      <c r="L126" s="234">
        <f t="shared" si="14"/>
        <v>608870.63971455407</v>
      </c>
      <c r="M126" s="234">
        <f t="shared" si="14"/>
        <v>67.598761249714784</v>
      </c>
      <c r="N126" s="232">
        <f t="shared" si="15"/>
        <v>-7855237.1868790835</v>
      </c>
    </row>
    <row r="127" spans="1:14" ht="13">
      <c r="A127" s="572">
        <f t="shared" si="13"/>
        <v>63</v>
      </c>
      <c r="C127" s="731" t="s">
        <v>2603</v>
      </c>
      <c r="D127" s="234">
        <f t="shared" si="14"/>
        <v>0</v>
      </c>
      <c r="E127" s="234">
        <f t="shared" si="14"/>
        <v>15306.014616010933</v>
      </c>
      <c r="F127" s="234">
        <f t="shared" si="14"/>
        <v>-97823.879475344307</v>
      </c>
      <c r="G127" s="234">
        <f t="shared" si="14"/>
        <v>-1531737.2666819831</v>
      </c>
      <c r="H127" s="234">
        <f t="shared" si="14"/>
        <v>-3178258.894704707</v>
      </c>
      <c r="I127" s="234">
        <f t="shared" si="14"/>
        <v>-647432.15073083714</v>
      </c>
      <c r="J127" s="234">
        <f t="shared" si="14"/>
        <v>-470199.66043030156</v>
      </c>
      <c r="K127" s="234">
        <f t="shared" si="14"/>
        <v>-12970.486393869793</v>
      </c>
      <c r="L127" s="234">
        <f t="shared" si="14"/>
        <v>358692.8720421223</v>
      </c>
      <c r="M127" s="234">
        <f t="shared" si="14"/>
        <v>485.8418004110523</v>
      </c>
      <c r="N127" s="232">
        <f t="shared" si="15"/>
        <v>-5563937.6099584987</v>
      </c>
    </row>
    <row r="128" spans="1:14" ht="13">
      <c r="A128" s="572">
        <f t="shared" si="13"/>
        <v>64</v>
      </c>
      <c r="C128" s="732" t="s">
        <v>2604</v>
      </c>
      <c r="D128" s="234">
        <f t="shared" si="14"/>
        <v>0</v>
      </c>
      <c r="E128" s="234">
        <f t="shared" si="14"/>
        <v>353.04207170169417</v>
      </c>
      <c r="F128" s="234">
        <f t="shared" si="14"/>
        <v>-47203.571287487473</v>
      </c>
      <c r="G128" s="234">
        <f t="shared" si="14"/>
        <v>-1992560.2856025766</v>
      </c>
      <c r="H128" s="234">
        <f t="shared" si="14"/>
        <v>-270640.73791947367</v>
      </c>
      <c r="I128" s="234">
        <f t="shared" si="14"/>
        <v>-847845.83060451644</v>
      </c>
      <c r="J128" s="234">
        <f t="shared" si="14"/>
        <v>-1280630.0649284536</v>
      </c>
      <c r="K128" s="234">
        <f t="shared" si="14"/>
        <v>-38148.190529361338</v>
      </c>
      <c r="L128" s="234">
        <f t="shared" si="14"/>
        <v>178762.32740966941</v>
      </c>
      <c r="M128" s="234">
        <f t="shared" si="14"/>
        <v>21009.594537044304</v>
      </c>
      <c r="N128" s="232">
        <f t="shared" si="15"/>
        <v>-4276903.7168534538</v>
      </c>
    </row>
    <row r="129" spans="1:14" ht="13">
      <c r="A129" s="572">
        <f t="shared" si="13"/>
        <v>65</v>
      </c>
      <c r="C129" s="732" t="s">
        <v>2605</v>
      </c>
      <c r="D129" s="234">
        <f t="shared" si="14"/>
        <v>0</v>
      </c>
      <c r="E129" s="234">
        <f t="shared" si="14"/>
        <v>-1827.9957622695561</v>
      </c>
      <c r="F129" s="234">
        <f t="shared" si="14"/>
        <v>8234.2624285056936</v>
      </c>
      <c r="G129" s="234">
        <f t="shared" si="14"/>
        <v>-2117550.8843421345</v>
      </c>
      <c r="H129" s="234">
        <f t="shared" si="14"/>
        <v>-316145.41173053457</v>
      </c>
      <c r="I129" s="234">
        <f t="shared" si="14"/>
        <v>-940234.91195817059</v>
      </c>
      <c r="J129" s="234">
        <f t="shared" si="14"/>
        <v>-106973.32001643904</v>
      </c>
      <c r="K129" s="234">
        <f t="shared" si="14"/>
        <v>-2193.9786928989752</v>
      </c>
      <c r="L129" s="234">
        <f t="shared" si="14"/>
        <v>23958.310594895782</v>
      </c>
      <c r="M129" s="234">
        <f t="shared" si="14"/>
        <v>50087.202078285765</v>
      </c>
      <c r="N129" s="232">
        <f t="shared" si="15"/>
        <v>-3402646.7274007597</v>
      </c>
    </row>
    <row r="130" spans="1:14" ht="13">
      <c r="A130" s="572">
        <f t="shared" si="13"/>
        <v>66</v>
      </c>
      <c r="C130" s="731" t="s">
        <v>2606</v>
      </c>
      <c r="D130" s="459">
        <f t="shared" si="14"/>
        <v>0</v>
      </c>
      <c r="E130" s="459">
        <f t="shared" si="14"/>
        <v>19797.33335588151</v>
      </c>
      <c r="F130" s="459">
        <f t="shared" si="14"/>
        <v>-2068306.7874779881</v>
      </c>
      <c r="G130" s="459">
        <f t="shared" si="14"/>
        <v>-15971617.729728445</v>
      </c>
      <c r="H130" s="459">
        <f t="shared" si="14"/>
        <v>-342408.09463176312</v>
      </c>
      <c r="I130" s="459">
        <f t="shared" si="14"/>
        <v>-1364482.2139735904</v>
      </c>
      <c r="J130" s="459">
        <f t="shared" si="14"/>
        <v>31578.459767719327</v>
      </c>
      <c r="K130" s="459">
        <f t="shared" si="14"/>
        <v>-62577.004933926786</v>
      </c>
      <c r="L130" s="459">
        <f t="shared" si="14"/>
        <v>-26691.484285757986</v>
      </c>
      <c r="M130" s="459">
        <f t="shared" si="14"/>
        <v>2919.3936003501485</v>
      </c>
      <c r="N130" s="366">
        <f t="shared" si="15"/>
        <v>-19781788.128307521</v>
      </c>
    </row>
    <row r="131" spans="1:14" ht="13">
      <c r="A131" s="572">
        <f t="shared" si="13"/>
        <v>67</v>
      </c>
      <c r="C131" s="1168" t="s">
        <v>4</v>
      </c>
      <c r="D131" s="232">
        <f>SUM(D119:D130)</f>
        <v>0</v>
      </c>
      <c r="E131" s="232">
        <f t="shared" ref="E131:M131" si="16">SUM(E119:E130)</f>
        <v>63089.685873956885</v>
      </c>
      <c r="F131" s="232">
        <f t="shared" si="16"/>
        <v>-4810034.9549385495</v>
      </c>
      <c r="G131" s="232">
        <f t="shared" si="16"/>
        <v>-43700138.005556375</v>
      </c>
      <c r="H131" s="232">
        <f t="shared" si="16"/>
        <v>-7330950.5919055119</v>
      </c>
      <c r="I131" s="232">
        <f t="shared" si="16"/>
        <v>-11738396.977458825</v>
      </c>
      <c r="J131" s="232">
        <f t="shared" si="16"/>
        <v>-4574527.8164532557</v>
      </c>
      <c r="K131" s="232">
        <f t="shared" si="16"/>
        <v>-114368.59866805468</v>
      </c>
      <c r="L131" s="232">
        <f t="shared" si="16"/>
        <v>762399.91502672574</v>
      </c>
      <c r="M131" s="232">
        <f t="shared" si="16"/>
        <v>165379.76045150589</v>
      </c>
      <c r="N131" s="232">
        <f>SUM(N119:N130)</f>
        <v>-71277547.583628386</v>
      </c>
    </row>
    <row r="133" spans="1:14" ht="13">
      <c r="B133" s="397" t="s">
        <v>230</v>
      </c>
    </row>
    <row r="134" spans="1:14">
      <c r="B134" s="936" t="s">
        <v>2287</v>
      </c>
      <c r="C134" s="14"/>
      <c r="D134" s="14"/>
      <c r="E134" s="14"/>
      <c r="F134" s="14"/>
      <c r="G134" s="14"/>
      <c r="H134" s="14"/>
      <c r="I134" s="14"/>
      <c r="J134" s="14"/>
    </row>
    <row r="135" spans="1:14">
      <c r="B135" s="1193" t="s">
        <v>1878</v>
      </c>
      <c r="C135" s="14"/>
      <c r="D135" s="14"/>
      <c r="E135" s="14"/>
      <c r="F135" s="14"/>
      <c r="G135" s="14"/>
      <c r="H135" s="14"/>
      <c r="I135" s="14"/>
      <c r="J135" s="14"/>
    </row>
    <row r="136" spans="1:14">
      <c r="B136" s="614" t="s">
        <v>1860</v>
      </c>
      <c r="C136" s="598"/>
      <c r="D136" s="598"/>
      <c r="E136" s="598"/>
      <c r="F136" s="598"/>
      <c r="G136" s="598"/>
      <c r="H136" s="598"/>
      <c r="I136" s="598"/>
      <c r="J136" s="14"/>
      <c r="K136" s="14"/>
      <c r="L136" s="598"/>
      <c r="M136" s="598"/>
      <c r="N136" s="14"/>
    </row>
    <row r="137" spans="1:14">
      <c r="B137" s="941" t="s">
        <v>2447</v>
      </c>
      <c r="C137" s="598"/>
      <c r="D137" s="598"/>
      <c r="E137" s="598"/>
      <c r="F137" s="598"/>
      <c r="G137" s="598"/>
      <c r="H137" s="598"/>
      <c r="I137" s="598"/>
      <c r="J137" s="598"/>
      <c r="K137" s="598"/>
      <c r="L137" s="598"/>
      <c r="M137" s="598"/>
      <c r="N137" s="14"/>
    </row>
    <row r="138" spans="1:14">
      <c r="B138" s="941" t="s">
        <v>2385</v>
      </c>
      <c r="C138" s="598"/>
      <c r="D138" s="598"/>
      <c r="E138" s="598"/>
      <c r="F138" s="598"/>
      <c r="G138" s="598"/>
      <c r="H138" s="598"/>
      <c r="I138" s="598"/>
      <c r="J138" s="598"/>
      <c r="K138" s="598"/>
      <c r="L138" s="598"/>
      <c r="M138" s="598"/>
      <c r="N138" s="14"/>
    </row>
    <row r="139" spans="1:14">
      <c r="B139" s="941" t="s">
        <v>1861</v>
      </c>
      <c r="C139" s="598"/>
      <c r="D139" s="598"/>
      <c r="E139" s="598"/>
      <c r="F139" s="598"/>
      <c r="G139" s="598"/>
      <c r="H139" s="598"/>
      <c r="I139" s="598"/>
      <c r="J139" s="598"/>
      <c r="K139" s="598"/>
      <c r="L139" s="598"/>
      <c r="M139" s="598"/>
      <c r="N139" s="14"/>
    </row>
    <row r="140" spans="1:14">
      <c r="B140" s="614" t="s">
        <v>1862</v>
      </c>
      <c r="C140" s="598"/>
      <c r="D140" s="598"/>
      <c r="E140" s="598"/>
      <c r="F140" s="598"/>
      <c r="G140" s="598"/>
      <c r="H140" s="598"/>
      <c r="I140" s="598"/>
      <c r="J140" s="598"/>
      <c r="K140" s="598"/>
      <c r="L140" s="598"/>
      <c r="M140" s="598"/>
      <c r="N140" s="14"/>
    </row>
    <row r="141" spans="1:14">
      <c r="B141" s="941" t="s">
        <v>2274</v>
      </c>
      <c r="C141" s="598"/>
      <c r="D141" s="598"/>
      <c r="E141" s="598"/>
      <c r="F141" s="598"/>
      <c r="G141" s="598"/>
      <c r="H141" s="598"/>
      <c r="I141" s="598"/>
      <c r="J141" s="598"/>
      <c r="K141" s="598"/>
      <c r="L141" s="598"/>
      <c r="M141" s="598"/>
      <c r="N141" s="14"/>
    </row>
    <row r="142" spans="1:14">
      <c r="B142" s="941" t="s">
        <v>2386</v>
      </c>
      <c r="C142" s="598"/>
      <c r="D142" s="598"/>
      <c r="E142" s="598"/>
      <c r="F142" s="598"/>
      <c r="G142" s="598"/>
      <c r="H142" s="598"/>
      <c r="I142" s="598"/>
      <c r="J142" s="598"/>
      <c r="K142" s="598"/>
      <c r="L142" s="598"/>
      <c r="M142" s="598"/>
      <c r="N142" s="14"/>
    </row>
    <row r="143" spans="1:14">
      <c r="B143" s="941" t="s">
        <v>2275</v>
      </c>
      <c r="C143" s="598"/>
      <c r="D143" s="598"/>
      <c r="E143" s="598"/>
      <c r="F143" s="598"/>
      <c r="G143" s="598"/>
      <c r="H143" s="598"/>
      <c r="I143" s="598"/>
      <c r="J143" s="598"/>
      <c r="K143" s="598"/>
      <c r="L143" s="598"/>
      <c r="M143" s="598"/>
      <c r="N143" s="14"/>
    </row>
    <row r="144" spans="1:14">
      <c r="B144" s="478" t="str">
        <f>"2) Amounts on Line "&amp;A33&amp;" derived from Plant Study for previous year Prior Year."</f>
        <v>2) Amounts on Line 15 derived from Plant Study for previous year Prior Year.</v>
      </c>
      <c r="C144" s="14"/>
      <c r="D144" s="14"/>
      <c r="E144" s="14"/>
      <c r="F144" s="14"/>
      <c r="G144" s="14"/>
      <c r="H144" s="14"/>
      <c r="I144" s="14"/>
      <c r="J144" s="14"/>
    </row>
    <row r="145" spans="2:10">
      <c r="B145" s="475" t="str">
        <f>"Amounts on Line "&amp;A34&amp;" derived from Plant Study for Prior Year."</f>
        <v>Amounts on Line 16 derived from Plant Study for Prior Year.</v>
      </c>
      <c r="C145" s="14"/>
      <c r="D145" s="14"/>
      <c r="E145" s="14"/>
      <c r="F145" s="14"/>
      <c r="G145" s="14"/>
      <c r="H145" s="14"/>
      <c r="I145" s="14"/>
      <c r="J145" s="14"/>
    </row>
    <row r="146" spans="2:10">
      <c r="B146" s="14" t="str">
        <f>"3) From 17-Depreciation, Lines "&amp;'17-Depreciation'!A48&amp;" to "&amp;'17-Depreciation'!A59&amp;"."</f>
        <v>3) From 17-Depreciation, Lines 24 to 35.</v>
      </c>
      <c r="C146" s="14"/>
      <c r="D146" s="14"/>
      <c r="E146" s="14"/>
      <c r="F146" s="14"/>
      <c r="G146" s="14"/>
      <c r="H146" s="14"/>
      <c r="I146" s="14"/>
      <c r="J146" s="14"/>
    </row>
    <row r="147" spans="2:10">
      <c r="B147" s="478" t="s">
        <v>2387</v>
      </c>
      <c r="C147" s="14"/>
      <c r="D147" s="14"/>
      <c r="E147" s="14"/>
      <c r="F147" s="14"/>
      <c r="G147" s="14"/>
      <c r="H147" s="14"/>
      <c r="I147" s="14"/>
      <c r="J147" s="14"/>
    </row>
    <row r="148" spans="2:10">
      <c r="B148" s="478" t="str">
        <f>"5) Line "&amp;A24&amp;" - Line "&amp;A12&amp;"."</f>
        <v>5) Line 13 - Line 1.</v>
      </c>
      <c r="C148" s="14"/>
      <c r="D148" s="14"/>
      <c r="E148" s="14"/>
      <c r="F148" s="14"/>
      <c r="G148" s="14"/>
      <c r="H148" s="14"/>
      <c r="I148" s="14"/>
      <c r="J148" s="14"/>
    </row>
    <row r="149" spans="2:10">
      <c r="B149" s="14" t="str">
        <f>"6) Line "&amp;A82&amp;"."</f>
        <v>6) Line 39.</v>
      </c>
      <c r="C149" s="14"/>
      <c r="D149" s="14"/>
      <c r="E149" s="14"/>
      <c r="F149" s="14"/>
      <c r="G149" s="14"/>
      <c r="H149" s="14"/>
      <c r="I149" s="14"/>
      <c r="J149" s="14"/>
    </row>
    <row r="150" spans="2:10">
      <c r="B150" s="478" t="str">
        <f>"7) Line "&amp;A106&amp;" - Line "&amp;A109&amp;"."</f>
        <v>7) Line 52 - Line 53.</v>
      </c>
      <c r="C150" s="14"/>
      <c r="D150" s="14"/>
      <c r="E150" s="14"/>
      <c r="F150" s="14"/>
      <c r="G150" s="14"/>
      <c r="H150" s="14"/>
      <c r="I150" s="14"/>
      <c r="J150" s="14"/>
    </row>
    <row r="151" spans="2:10">
      <c r="B151" s="478" t="s">
        <v>2388</v>
      </c>
      <c r="C151" s="14"/>
      <c r="D151" s="14"/>
      <c r="E151" s="14"/>
      <c r="F151" s="14"/>
      <c r="G151" s="14"/>
      <c r="H151" s="14"/>
      <c r="I151" s="14"/>
      <c r="J151" s="14"/>
    </row>
    <row r="152" spans="2:10">
      <c r="B152" s="475" t="s">
        <v>2389</v>
      </c>
      <c r="C152" s="14"/>
      <c r="D152" s="14"/>
      <c r="E152" s="14"/>
      <c r="F152" s="14"/>
      <c r="G152" s="14"/>
      <c r="H152" s="14"/>
      <c r="I152" s="14"/>
      <c r="J152" s="14"/>
    </row>
    <row r="153" spans="2:10">
      <c r="B153" s="478"/>
      <c r="C153" s="14"/>
      <c r="D153" s="14"/>
      <c r="E153" s="14"/>
      <c r="F153" s="14"/>
      <c r="G153" s="14"/>
      <c r="H153" s="14"/>
      <c r="I153" s="14"/>
      <c r="J153" s="14"/>
    </row>
    <row r="154" spans="2:10">
      <c r="B154" s="478"/>
      <c r="C154" s="14"/>
      <c r="D154" s="14"/>
      <c r="E154" s="14"/>
      <c r="F154" s="14"/>
      <c r="G154" s="14"/>
      <c r="H154" s="14"/>
      <c r="I154" s="14"/>
      <c r="J154" s="14"/>
    </row>
  </sheetData>
  <phoneticPr fontId="23" type="noConversion"/>
  <pageMargins left="0.75" right="0.75" top="1" bottom="1" header="0.5" footer="0.5"/>
  <pageSetup scale="65" orientation="landscape" cellComments="asDisplayed" r:id="rId1"/>
  <headerFooter alignWithMargins="0">
    <oddHeader>&amp;CSchedule 8
Accumulated Depreciation
&amp;RTO2021 Annual Update
Attachment 5
TO2018 True Up TRR</oddHeader>
    <oddFooter>&amp;R&amp;A</oddFooter>
  </headerFooter>
  <rowBreaks count="3" manualBreakCount="3">
    <brk id="36" max="16383" man="1"/>
    <brk id="83" max="16383" man="1"/>
    <brk id="11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87"/>
  <sheetViews>
    <sheetView zoomScaleNormal="100" zoomScaleSheetLayoutView="80" zoomScalePageLayoutView="80" workbookViewId="0"/>
  </sheetViews>
  <sheetFormatPr defaultRowHeight="13"/>
  <cols>
    <col min="1" max="1" width="9.54296875" customWidth="1"/>
    <col min="2" max="2" width="9.54296875" style="533" customWidth="1"/>
    <col min="3" max="3" width="55" style="533" customWidth="1"/>
    <col min="4" max="4" width="15.54296875" style="533" customWidth="1"/>
    <col min="5" max="5" width="16.54296875" style="533" customWidth="1"/>
    <col min="6" max="6" width="15.54296875" style="533" customWidth="1"/>
    <col min="7" max="7" width="16.54296875" style="533" customWidth="1"/>
    <col min="8" max="8" width="15.54296875" style="533" customWidth="1"/>
    <col min="9" max="9" width="16.453125" style="533" bestFit="1" customWidth="1"/>
    <col min="10" max="10" width="33.54296875" style="533" customWidth="1"/>
    <col min="11" max="11" width="9.453125" style="14"/>
  </cols>
  <sheetData>
    <row r="1" spans="1:12">
      <c r="A1" s="44" t="s">
        <v>2495</v>
      </c>
      <c r="B1" s="239"/>
      <c r="C1" s="239"/>
      <c r="D1" s="239"/>
      <c r="E1" s="239"/>
      <c r="F1" s="395" t="s">
        <v>302</v>
      </c>
      <c r="G1" s="395"/>
      <c r="H1" s="239"/>
      <c r="I1" s="230"/>
      <c r="J1" s="230"/>
      <c r="K1" s="532"/>
      <c r="L1" s="532"/>
    </row>
    <row r="2" spans="1:12">
      <c r="A2" s="230"/>
      <c r="B2" s="603"/>
      <c r="C2" s="604"/>
      <c r="D2" s="604"/>
      <c r="E2" s="230"/>
      <c r="F2" s="230"/>
      <c r="G2" s="230"/>
      <c r="H2" s="230"/>
      <c r="I2" s="230"/>
      <c r="J2" s="230"/>
      <c r="K2" s="532"/>
      <c r="L2" s="532"/>
    </row>
    <row r="3" spans="1:12">
      <c r="A3" s="230"/>
      <c r="B3" s="603" t="s">
        <v>2496</v>
      </c>
      <c r="C3" s="604"/>
      <c r="D3" s="604"/>
      <c r="E3" s="230"/>
      <c r="F3" s="230"/>
      <c r="G3" s="230"/>
      <c r="H3" s="230"/>
      <c r="I3" s="230"/>
      <c r="J3" s="230"/>
      <c r="K3" s="532"/>
      <c r="L3" s="532"/>
    </row>
    <row r="4" spans="1:12">
      <c r="A4" s="230"/>
      <c r="B4" s="603"/>
      <c r="C4" s="604"/>
      <c r="D4" s="604"/>
      <c r="E4" s="230"/>
      <c r="F4" s="230"/>
      <c r="G4" s="230"/>
      <c r="H4" s="230"/>
      <c r="I4" s="230"/>
      <c r="J4" s="230"/>
      <c r="K4" s="532"/>
      <c r="L4" s="532"/>
    </row>
    <row r="5" spans="1:12">
      <c r="A5" s="230"/>
      <c r="B5" s="605" t="s">
        <v>2497</v>
      </c>
      <c r="C5" s="604"/>
      <c r="D5" s="604"/>
      <c r="E5" s="230"/>
      <c r="F5" s="230"/>
      <c r="G5" s="230"/>
      <c r="H5" s="230"/>
      <c r="I5" s="230"/>
      <c r="J5" s="230"/>
      <c r="K5" s="532"/>
      <c r="L5" s="532"/>
    </row>
    <row r="6" spans="1:12">
      <c r="A6" s="230"/>
      <c r="B6" s="603"/>
      <c r="C6" s="84" t="s">
        <v>359</v>
      </c>
      <c r="D6" s="84" t="s">
        <v>343</v>
      </c>
      <c r="E6" s="230"/>
      <c r="I6" s="230"/>
      <c r="J6" s="230"/>
      <c r="K6" s="532"/>
      <c r="L6" s="532"/>
    </row>
    <row r="7" spans="1:12">
      <c r="A7" s="230"/>
      <c r="C7" s="604"/>
      <c r="D7" s="230"/>
      <c r="E7" s="230"/>
      <c r="I7" s="230"/>
      <c r="J7" s="230"/>
      <c r="K7" s="532"/>
      <c r="L7" s="532"/>
    </row>
    <row r="8" spans="1:12">
      <c r="A8" s="230"/>
      <c r="B8" s="603"/>
      <c r="C8" s="239"/>
      <c r="D8" s="109" t="s">
        <v>196</v>
      </c>
      <c r="J8" s="230"/>
      <c r="K8" s="532"/>
      <c r="L8" s="532"/>
    </row>
    <row r="9" spans="1:12">
      <c r="A9" s="53" t="s">
        <v>330</v>
      </c>
      <c r="B9" s="603"/>
      <c r="C9" s="519" t="s">
        <v>99</v>
      </c>
      <c r="D9" s="123" t="s">
        <v>201</v>
      </c>
      <c r="E9" s="367" t="s">
        <v>179</v>
      </c>
      <c r="J9" s="230"/>
      <c r="K9" s="532"/>
      <c r="L9" s="532"/>
    </row>
    <row r="10" spans="1:12" ht="14.5">
      <c r="A10" s="379">
        <v>1</v>
      </c>
      <c r="B10" s="603"/>
      <c r="C10" s="478" t="s">
        <v>1218</v>
      </c>
      <c r="D10" s="490">
        <f>+D70</f>
        <v>118057447.29556398</v>
      </c>
      <c r="E10" s="475" t="str">
        <f>"Line "&amp;A70&amp;", Col. 2"</f>
        <v>Line 353, Col. 2</v>
      </c>
      <c r="J10" s="230"/>
      <c r="K10" s="532"/>
      <c r="L10" s="532"/>
    </row>
    <row r="11" spans="1:12">
      <c r="A11" s="572">
        <f>A10+1</f>
        <v>2</v>
      </c>
      <c r="B11" s="603"/>
      <c r="C11" s="478" t="s">
        <v>1216</v>
      </c>
      <c r="D11" s="490">
        <f>+D90</f>
        <v>-1188810901.2409992</v>
      </c>
      <c r="E11" s="475" t="str">
        <f>"Line "&amp;A90&amp;", Col. 2"</f>
        <v>Line 452, Col. 2</v>
      </c>
      <c r="J11" s="230"/>
      <c r="K11" s="532"/>
      <c r="L11" s="532"/>
    </row>
    <row r="12" spans="1:12">
      <c r="A12" s="572">
        <f t="shared" ref="A12:A24" si="0">A11+1</f>
        <v>3</v>
      </c>
      <c r="B12" s="603"/>
      <c r="C12" s="478" t="s">
        <v>1217</v>
      </c>
      <c r="D12" s="490">
        <f>+D130</f>
        <v>-14941597.497067939</v>
      </c>
      <c r="E12" s="475" t="str">
        <f>"Line "&amp;A130&amp;", Col. 2"</f>
        <v>Line 803, Col. 2</v>
      </c>
      <c r="I12" s="534"/>
      <c r="J12" s="230"/>
      <c r="K12" s="532"/>
      <c r="L12" s="532"/>
    </row>
    <row r="13" spans="1:12" s="1048" customFormat="1">
      <c r="A13" s="572">
        <f t="shared" si="0"/>
        <v>4</v>
      </c>
      <c r="B13" s="603"/>
      <c r="C13" s="478" t="s">
        <v>2485</v>
      </c>
      <c r="D13" s="1291">
        <f>-637169884+101819399</f>
        <v>-535350485</v>
      </c>
      <c r="E13" s="475" t="s">
        <v>2498</v>
      </c>
      <c r="F13" s="533"/>
      <c r="G13" s="533"/>
      <c r="H13" s="533"/>
      <c r="I13" s="534"/>
      <c r="J13" s="230"/>
      <c r="K13" s="532"/>
      <c r="L13" s="532"/>
    </row>
    <row r="14" spans="1:12">
      <c r="A14" s="572">
        <f t="shared" si="0"/>
        <v>5</v>
      </c>
      <c r="B14" s="603"/>
      <c r="C14" s="478" t="s">
        <v>1557</v>
      </c>
      <c r="D14" s="491">
        <f>SUM(D10:D13)</f>
        <v>-1621045536.4425032</v>
      </c>
      <c r="E14" s="552" t="str">
        <f>"Sum of Lines "&amp;A10&amp;" to "&amp;A13&amp;""</f>
        <v>Sum of Lines 1 to 4</v>
      </c>
      <c r="J14" s="230"/>
      <c r="K14" s="532"/>
      <c r="L14" s="532"/>
    </row>
    <row r="15" spans="1:12">
      <c r="A15" s="572">
        <f t="shared" si="0"/>
        <v>6</v>
      </c>
      <c r="B15" s="603"/>
      <c r="C15" s="480" t="s">
        <v>2486</v>
      </c>
      <c r="D15" s="239"/>
      <c r="E15" s="239"/>
      <c r="G15" s="535"/>
      <c r="H15" s="245"/>
      <c r="I15" s="239"/>
      <c r="J15" s="230"/>
      <c r="K15" s="532"/>
      <c r="L15" s="532"/>
    </row>
    <row r="16" spans="1:12">
      <c r="A16" s="572">
        <f t="shared" si="0"/>
        <v>7</v>
      </c>
      <c r="B16" s="605" t="s">
        <v>1556</v>
      </c>
      <c r="E16" s="239"/>
      <c r="G16" s="534"/>
      <c r="H16" s="536"/>
      <c r="I16" s="534"/>
      <c r="J16" s="230"/>
      <c r="K16" s="532"/>
      <c r="L16" s="532"/>
    </row>
    <row r="17" spans="1:12">
      <c r="A17" s="572">
        <f t="shared" si="0"/>
        <v>8</v>
      </c>
      <c r="B17" s="605"/>
      <c r="D17" s="109" t="s">
        <v>381</v>
      </c>
      <c r="E17" s="239"/>
      <c r="G17" s="534"/>
      <c r="H17" s="536"/>
      <c r="I17" s="534"/>
      <c r="J17" s="230"/>
      <c r="K17" s="532"/>
      <c r="L17" s="532"/>
    </row>
    <row r="18" spans="1:12">
      <c r="A18" s="572">
        <f t="shared" si="0"/>
        <v>9</v>
      </c>
      <c r="B18" s="603"/>
      <c r="D18" s="123" t="s">
        <v>201</v>
      </c>
      <c r="E18" s="367" t="s">
        <v>179</v>
      </c>
      <c r="G18" s="537"/>
      <c r="H18" s="534"/>
      <c r="I18" s="534"/>
      <c r="J18" s="230"/>
      <c r="K18" s="532"/>
      <c r="L18" s="532"/>
    </row>
    <row r="19" spans="1:12">
      <c r="A19" s="572">
        <f t="shared" si="0"/>
        <v>10</v>
      </c>
      <c r="B19" s="603"/>
      <c r="C19" s="478" t="s">
        <v>1557</v>
      </c>
      <c r="D19" s="509">
        <v>-1642932131</v>
      </c>
      <c r="E19" s="475" t="str">
        <f>"Previous Year Informational Filing, Line "&amp;A14&amp;", Col. 2"</f>
        <v>Previous Year Informational Filing, Line 5, Col. 2</v>
      </c>
      <c r="G19" s="1245"/>
      <c r="H19" s="534"/>
      <c r="I19" s="534"/>
      <c r="K19" s="532"/>
      <c r="L19" s="532"/>
    </row>
    <row r="20" spans="1:12">
      <c r="A20" s="572">
        <f t="shared" si="0"/>
        <v>11</v>
      </c>
      <c r="B20" s="603"/>
      <c r="D20" s="239"/>
      <c r="E20" s="239"/>
      <c r="F20" s="534"/>
      <c r="G20" s="534"/>
      <c r="H20" s="534"/>
      <c r="I20" s="534"/>
      <c r="J20" s="230"/>
      <c r="K20" s="532"/>
      <c r="L20" s="532"/>
    </row>
    <row r="21" spans="1:12">
      <c r="A21" s="572">
        <f t="shared" si="0"/>
        <v>12</v>
      </c>
      <c r="B21" s="605" t="s">
        <v>1558</v>
      </c>
      <c r="D21" s="239"/>
      <c r="E21" s="239"/>
      <c r="F21" s="534"/>
      <c r="G21" s="534"/>
      <c r="H21" s="534"/>
      <c r="I21" s="534"/>
      <c r="J21" s="230"/>
      <c r="K21" s="532"/>
      <c r="L21" s="532"/>
    </row>
    <row r="22" spans="1:12">
      <c r="A22" s="572">
        <f t="shared" si="0"/>
        <v>13</v>
      </c>
      <c r="B22" s="604"/>
      <c r="C22" s="606"/>
      <c r="D22" s="607" t="s">
        <v>229</v>
      </c>
      <c r="E22" s="230"/>
      <c r="F22" s="230"/>
      <c r="G22" s="230"/>
      <c r="H22" s="230"/>
      <c r="I22" s="230"/>
      <c r="J22" s="230"/>
      <c r="K22" s="532"/>
      <c r="L22" s="532"/>
    </row>
    <row r="23" spans="1:12">
      <c r="A23" s="572">
        <f t="shared" si="0"/>
        <v>14</v>
      </c>
      <c r="B23" s="604"/>
      <c r="D23" s="123" t="s">
        <v>201</v>
      </c>
      <c r="E23" s="367" t="s">
        <v>179</v>
      </c>
      <c r="F23" s="230"/>
      <c r="G23" s="537"/>
      <c r="H23" s="230"/>
      <c r="I23" s="230"/>
      <c r="J23" s="230"/>
      <c r="K23" s="532"/>
      <c r="L23" s="532"/>
    </row>
    <row r="24" spans="1:12">
      <c r="A24" s="572">
        <f t="shared" si="0"/>
        <v>15</v>
      </c>
      <c r="B24" s="604"/>
      <c r="C24" s="608" t="s">
        <v>2499</v>
      </c>
      <c r="D24" s="1074">
        <f>J154</f>
        <v>-1632853304.2368784</v>
      </c>
      <c r="E24" s="480" t="s">
        <v>2500</v>
      </c>
      <c r="F24" s="230"/>
      <c r="G24" s="534"/>
      <c r="H24" s="230"/>
      <c r="I24" s="230"/>
      <c r="J24" s="230"/>
      <c r="K24" s="532"/>
      <c r="L24" s="532"/>
    </row>
    <row r="25" spans="1:12">
      <c r="A25" s="572"/>
      <c r="B25" s="604"/>
      <c r="C25" s="606"/>
      <c r="D25" s="609"/>
      <c r="E25" s="230"/>
      <c r="F25" s="230"/>
      <c r="G25" s="230"/>
      <c r="H25" s="230"/>
      <c r="I25" s="230"/>
      <c r="J25" s="230"/>
      <c r="K25" s="532"/>
      <c r="L25" s="532"/>
    </row>
    <row r="26" spans="1:12">
      <c r="A26" s="572"/>
      <c r="B26" s="603" t="s">
        <v>1559</v>
      </c>
      <c r="C26" s="606"/>
      <c r="D26" s="609"/>
      <c r="E26" s="230"/>
      <c r="F26" s="230"/>
      <c r="G26" s="230"/>
      <c r="H26" s="230"/>
      <c r="I26" s="230"/>
      <c r="J26" s="230"/>
    </row>
    <row r="27" spans="1:12">
      <c r="A27" s="572"/>
      <c r="B27" s="603"/>
      <c r="C27" s="84" t="s">
        <v>359</v>
      </c>
      <c r="D27" s="84" t="s">
        <v>343</v>
      </c>
      <c r="E27" s="84" t="s">
        <v>344</v>
      </c>
      <c r="F27" s="84" t="s">
        <v>345</v>
      </c>
      <c r="G27" s="84" t="s">
        <v>346</v>
      </c>
      <c r="H27" s="84" t="s">
        <v>347</v>
      </c>
      <c r="I27" s="84" t="s">
        <v>348</v>
      </c>
      <c r="J27" s="230"/>
    </row>
    <row r="28" spans="1:12">
      <c r="A28" s="476"/>
      <c r="B28" s="607"/>
      <c r="C28" s="607"/>
      <c r="D28" s="607" t="s">
        <v>1560</v>
      </c>
      <c r="E28" s="607" t="s">
        <v>1561</v>
      </c>
      <c r="F28" s="607"/>
      <c r="G28" s="607"/>
      <c r="H28" s="607" t="s">
        <v>1271</v>
      </c>
      <c r="I28" s="943" t="s">
        <v>1881</v>
      </c>
      <c r="J28" s="230"/>
    </row>
    <row r="29" spans="1:12">
      <c r="A29" s="476"/>
      <c r="B29" s="610" t="s">
        <v>1562</v>
      </c>
      <c r="C29" s="610" t="s">
        <v>1563</v>
      </c>
      <c r="D29" s="610" t="s">
        <v>1564</v>
      </c>
      <c r="E29" s="610" t="s">
        <v>1565</v>
      </c>
      <c r="F29" s="610" t="s">
        <v>1566</v>
      </c>
      <c r="G29" s="610" t="s">
        <v>1567</v>
      </c>
      <c r="H29" s="610" t="s">
        <v>1555</v>
      </c>
      <c r="I29" s="610" t="s">
        <v>100</v>
      </c>
      <c r="J29" s="230"/>
    </row>
    <row r="30" spans="1:12">
      <c r="A30" s="572"/>
      <c r="B30" s="604" t="s">
        <v>1569</v>
      </c>
      <c r="C30" s="604"/>
      <c r="D30" s="604"/>
      <c r="E30" s="230"/>
      <c r="F30" s="230"/>
      <c r="G30" s="230"/>
      <c r="H30" s="230"/>
      <c r="I30" s="230"/>
      <c r="J30" s="230"/>
    </row>
    <row r="31" spans="1:12">
      <c r="A31" s="187">
        <f>100</f>
        <v>100</v>
      </c>
      <c r="B31" s="1057">
        <v>190</v>
      </c>
      <c r="C31" s="1046" t="s">
        <v>2675</v>
      </c>
      <c r="D31" s="1047">
        <v>539259.8899999999</v>
      </c>
      <c r="E31" s="1059">
        <f>D31*$G$177</f>
        <v>483.73571206760488</v>
      </c>
      <c r="F31" s="1056"/>
      <c r="G31" s="1059">
        <f>D31-E31</f>
        <v>538776.15428793232</v>
      </c>
      <c r="H31" s="1059"/>
      <c r="I31" s="1060" t="s">
        <v>2690</v>
      </c>
      <c r="J31" s="1051"/>
    </row>
    <row r="32" spans="1:12">
      <c r="A32" s="187">
        <f t="shared" ref="A32:A45" si="1">A31+1</f>
        <v>101</v>
      </c>
      <c r="B32" s="1057">
        <v>190</v>
      </c>
      <c r="C32" s="1046" t="s">
        <v>2676</v>
      </c>
      <c r="D32" s="1047">
        <v>1227871.1299999999</v>
      </c>
      <c r="E32" s="1059">
        <f>D32*$G$169</f>
        <v>4300.652896665576</v>
      </c>
      <c r="F32" s="1056"/>
      <c r="G32" s="1059"/>
      <c r="H32" s="1059">
        <f>D32-E32</f>
        <v>1223570.4771033344</v>
      </c>
      <c r="I32" s="1060" t="s">
        <v>2691</v>
      </c>
      <c r="J32" s="1051"/>
    </row>
    <row r="33" spans="1:12">
      <c r="A33" s="1055">
        <f t="shared" si="1"/>
        <v>102</v>
      </c>
      <c r="B33" s="1057">
        <v>190</v>
      </c>
      <c r="C33" s="1046" t="s">
        <v>2677</v>
      </c>
      <c r="D33" s="1047">
        <v>719009.04</v>
      </c>
      <c r="E33" s="1059">
        <f>D33*$G$177</f>
        <v>644.97722971282928</v>
      </c>
      <c r="F33" s="1056"/>
      <c r="G33" s="1059">
        <f>D33-E33</f>
        <v>718364.06277028716</v>
      </c>
      <c r="H33" s="1059"/>
      <c r="I33" s="1060" t="s">
        <v>2690</v>
      </c>
      <c r="J33" s="1051"/>
    </row>
    <row r="34" spans="1:12">
      <c r="A34" s="1055">
        <f t="shared" si="1"/>
        <v>103</v>
      </c>
      <c r="B34" s="1057">
        <v>190</v>
      </c>
      <c r="C34" s="1046" t="s">
        <v>2678</v>
      </c>
      <c r="D34" s="1047">
        <v>1264408.98</v>
      </c>
      <c r="E34" s="1059">
        <f>D34*$G$169</f>
        <v>4428.627735882158</v>
      </c>
      <c r="F34" s="1059"/>
      <c r="G34" s="1059"/>
      <c r="H34" s="1059">
        <f>D34-E34</f>
        <v>1259980.3522641179</v>
      </c>
      <c r="I34" s="1060" t="s">
        <v>2691</v>
      </c>
      <c r="J34" s="1051"/>
    </row>
    <row r="35" spans="1:12">
      <c r="A35" s="1055">
        <f t="shared" si="1"/>
        <v>104</v>
      </c>
      <c r="B35" s="1057">
        <v>190</v>
      </c>
      <c r="C35" s="1046" t="s">
        <v>2679</v>
      </c>
      <c r="D35" s="1047">
        <v>28272451.09</v>
      </c>
      <c r="E35" s="1059">
        <f>D35*$G$169</f>
        <v>99025.0488876991</v>
      </c>
      <c r="F35" s="1056"/>
      <c r="G35" s="1059"/>
      <c r="H35" s="1059">
        <f>D35-E35</f>
        <v>28173426.0411123</v>
      </c>
      <c r="I35" s="1060" t="s">
        <v>2691</v>
      </c>
      <c r="J35" s="1051"/>
    </row>
    <row r="36" spans="1:12" ht="12.75" customHeight="1">
      <c r="A36" s="1055">
        <f t="shared" si="1"/>
        <v>105</v>
      </c>
      <c r="B36" s="1057">
        <v>190</v>
      </c>
      <c r="C36" s="1046" t="s">
        <v>2680</v>
      </c>
      <c r="D36" s="1047">
        <v>13313776.199999999</v>
      </c>
      <c r="E36" s="1059">
        <f>D36*$G$169</f>
        <v>46631.87266247331</v>
      </c>
      <c r="F36" s="1056"/>
      <c r="G36" s="1059"/>
      <c r="H36" s="1059">
        <f>D36-E36</f>
        <v>13267144.327337526</v>
      </c>
      <c r="I36" s="1060" t="s">
        <v>2691</v>
      </c>
      <c r="J36" s="1051"/>
    </row>
    <row r="37" spans="1:12">
      <c r="A37" s="1055">
        <f t="shared" si="1"/>
        <v>106</v>
      </c>
      <c r="B37" s="1057">
        <v>190</v>
      </c>
      <c r="C37" s="1046" t="s">
        <v>2681</v>
      </c>
      <c r="D37" s="1047">
        <v>815253.11999999988</v>
      </c>
      <c r="E37" s="1059">
        <f>D37*$G$177</f>
        <v>731.31166591777583</v>
      </c>
      <c r="F37" s="1056"/>
      <c r="G37" s="1059">
        <f>D37-E37</f>
        <v>814521.80833408213</v>
      </c>
      <c r="H37" s="1059"/>
      <c r="I37" s="1060" t="s">
        <v>2690</v>
      </c>
      <c r="J37" s="1051"/>
    </row>
    <row r="38" spans="1:12">
      <c r="A38" s="1055">
        <f t="shared" si="1"/>
        <v>107</v>
      </c>
      <c r="B38" s="1057">
        <v>190</v>
      </c>
      <c r="C38" s="1046" t="s">
        <v>2682</v>
      </c>
      <c r="D38" s="1047">
        <v>818771165.08999991</v>
      </c>
      <c r="E38" s="1059">
        <f>D38*$G$169</f>
        <v>2867768.8536015642</v>
      </c>
      <c r="F38" s="1056"/>
      <c r="G38" s="1059"/>
      <c r="H38" s="1059">
        <f>D38-E38</f>
        <v>815903396.23639834</v>
      </c>
      <c r="I38" s="1060" t="s">
        <v>2691</v>
      </c>
      <c r="J38" s="1051"/>
    </row>
    <row r="39" spans="1:12">
      <c r="A39" s="1055">
        <f t="shared" si="1"/>
        <v>108</v>
      </c>
      <c r="B39" s="1057">
        <v>190</v>
      </c>
      <c r="C39" s="1046" t="s">
        <v>2683</v>
      </c>
      <c r="D39" s="1047">
        <v>466893648.7299999</v>
      </c>
      <c r="E39" s="1059">
        <f>+D39</f>
        <v>466893648.7299999</v>
      </c>
      <c r="F39" s="1056"/>
      <c r="G39" s="1059"/>
      <c r="H39" s="1059"/>
      <c r="I39" s="1060" t="s">
        <v>2692</v>
      </c>
      <c r="J39" s="1051"/>
    </row>
    <row r="40" spans="1:12">
      <c r="A40" s="1055">
        <f t="shared" si="1"/>
        <v>109</v>
      </c>
      <c r="B40" s="1057">
        <v>190</v>
      </c>
      <c r="C40" s="1046" t="s">
        <v>2684</v>
      </c>
      <c r="D40" s="1047">
        <v>-0.27999999970896172</v>
      </c>
      <c r="E40" s="1059">
        <f>+D40</f>
        <v>-0.27999999970896172</v>
      </c>
      <c r="F40" s="1056"/>
      <c r="G40" s="1059"/>
      <c r="H40" s="1059"/>
      <c r="I40" s="1060" t="s">
        <v>2693</v>
      </c>
      <c r="J40" s="1051"/>
    </row>
    <row r="41" spans="1:12">
      <c r="A41" s="1055">
        <f t="shared" si="1"/>
        <v>110</v>
      </c>
      <c r="B41" s="1057">
        <v>190</v>
      </c>
      <c r="C41" s="1046" t="s">
        <v>2685</v>
      </c>
      <c r="D41" s="1047">
        <v>37050590.980000004</v>
      </c>
      <c r="E41" s="1059">
        <f>D41*$G$169</f>
        <v>129770.72880710903</v>
      </c>
      <c r="F41" s="509"/>
      <c r="G41" s="1059"/>
      <c r="H41" s="1059">
        <f>D41-E41</f>
        <v>36920820.251192898</v>
      </c>
      <c r="I41" s="1060" t="s">
        <v>2691</v>
      </c>
      <c r="J41" s="739"/>
    </row>
    <row r="42" spans="1:12">
      <c r="A42" s="1055">
        <f t="shared" si="1"/>
        <v>111</v>
      </c>
      <c r="B42" s="1057">
        <v>190</v>
      </c>
      <c r="C42" s="1046" t="s">
        <v>2686</v>
      </c>
      <c r="D42" s="1047">
        <v>751622201.74000013</v>
      </c>
      <c r="E42" s="1059">
        <f>+D42</f>
        <v>751622201.74000013</v>
      </c>
      <c r="F42" s="1056"/>
      <c r="G42" s="1059"/>
      <c r="H42" s="1059"/>
      <c r="I42" s="1062" t="s">
        <v>2694</v>
      </c>
      <c r="J42" s="1051"/>
    </row>
    <row r="43" spans="1:12">
      <c r="A43" s="1055">
        <f t="shared" si="1"/>
        <v>112</v>
      </c>
      <c r="B43" s="1057">
        <v>190</v>
      </c>
      <c r="C43" s="1046" t="s">
        <v>2687</v>
      </c>
      <c r="D43" s="1047">
        <v>57713.380000010075</v>
      </c>
      <c r="E43" s="1059">
        <f>+D43</f>
        <v>57713.380000010075</v>
      </c>
      <c r="F43" s="1056"/>
      <c r="G43" s="1059"/>
      <c r="H43" s="1056"/>
      <c r="I43" s="1060" t="s">
        <v>2695</v>
      </c>
      <c r="J43" s="1051"/>
    </row>
    <row r="44" spans="1:12">
      <c r="A44" s="1055">
        <f t="shared" si="1"/>
        <v>113</v>
      </c>
      <c r="B44" s="1057">
        <v>190</v>
      </c>
      <c r="C44" s="1046" t="s">
        <v>2688</v>
      </c>
      <c r="D44" s="1047">
        <v>-70476891.759999961</v>
      </c>
      <c r="E44" s="1059">
        <f>+D44</f>
        <v>-70476891.759999961</v>
      </c>
      <c r="F44" s="1056"/>
      <c r="G44" s="1059"/>
      <c r="H44" s="1056"/>
      <c r="I44" s="1060" t="s">
        <v>2696</v>
      </c>
      <c r="J44" s="1051"/>
    </row>
    <row r="45" spans="1:12">
      <c r="A45" s="1055">
        <f t="shared" si="1"/>
        <v>114</v>
      </c>
      <c r="B45" s="1057">
        <v>190</v>
      </c>
      <c r="C45" s="1046" t="s">
        <v>2689</v>
      </c>
      <c r="D45" s="1047">
        <v>314760292.12</v>
      </c>
      <c r="E45" s="1059"/>
      <c r="F45" s="1056"/>
      <c r="G45" s="1059">
        <f>D45-E45</f>
        <v>314760292.12</v>
      </c>
      <c r="H45" s="1056"/>
      <c r="I45" s="1060" t="s">
        <v>2697</v>
      </c>
      <c r="J45" s="1051"/>
    </row>
    <row r="46" spans="1:12">
      <c r="A46" s="109"/>
      <c r="B46" s="613"/>
      <c r="C46" s="614"/>
      <c r="D46" s="615"/>
      <c r="E46" s="234"/>
      <c r="F46" s="234"/>
      <c r="G46" s="234"/>
      <c r="H46" s="234"/>
      <c r="I46" s="239"/>
      <c r="J46" s="239"/>
      <c r="K46" s="532"/>
      <c r="L46" s="532"/>
    </row>
    <row r="47" spans="1:12">
      <c r="A47" s="109"/>
      <c r="B47" s="603" t="s">
        <v>1570</v>
      </c>
      <c r="C47" s="606"/>
      <c r="D47" s="609"/>
      <c r="E47" s="230"/>
      <c r="F47" s="230"/>
      <c r="G47" s="230"/>
      <c r="H47" s="230"/>
      <c r="I47" s="230"/>
      <c r="J47" s="239"/>
      <c r="K47" s="532"/>
      <c r="L47" s="532"/>
    </row>
    <row r="48" spans="1:12">
      <c r="A48" s="109"/>
      <c r="B48" s="603"/>
      <c r="C48" s="84" t="s">
        <v>359</v>
      </c>
      <c r="D48" s="84" t="s">
        <v>343</v>
      </c>
      <c r="E48" s="84" t="s">
        <v>344</v>
      </c>
      <c r="F48" s="84" t="s">
        <v>345</v>
      </c>
      <c r="G48" s="84" t="s">
        <v>346</v>
      </c>
      <c r="H48" s="84" t="s">
        <v>347</v>
      </c>
      <c r="I48" s="84" t="s">
        <v>348</v>
      </c>
      <c r="J48" s="239"/>
      <c r="K48" s="532"/>
      <c r="L48" s="532"/>
    </row>
    <row r="49" spans="1:12">
      <c r="A49" s="109"/>
      <c r="B49" s="607"/>
      <c r="C49" s="607"/>
      <c r="D49" s="607" t="s">
        <v>1560</v>
      </c>
      <c r="E49" s="607" t="s">
        <v>1561</v>
      </c>
      <c r="F49" s="607"/>
      <c r="G49" s="607"/>
      <c r="H49" s="607"/>
      <c r="I49" s="943" t="s">
        <v>1881</v>
      </c>
      <c r="J49" s="239"/>
      <c r="K49" s="532"/>
      <c r="L49" s="532"/>
    </row>
    <row r="50" spans="1:12">
      <c r="A50" s="109"/>
      <c r="B50" s="610" t="s">
        <v>1562</v>
      </c>
      <c r="C50" s="610" t="s">
        <v>1563</v>
      </c>
      <c r="D50" s="610" t="s">
        <v>1564</v>
      </c>
      <c r="E50" s="610" t="s">
        <v>1565</v>
      </c>
      <c r="F50" s="610" t="s">
        <v>1566</v>
      </c>
      <c r="G50" s="610" t="s">
        <v>1567</v>
      </c>
      <c r="H50" s="610" t="s">
        <v>1568</v>
      </c>
      <c r="I50" s="610" t="s">
        <v>100</v>
      </c>
      <c r="J50" s="234"/>
      <c r="K50" s="532"/>
      <c r="L50" s="532"/>
    </row>
    <row r="51" spans="1:12">
      <c r="A51" s="109"/>
      <c r="B51" s="604" t="s">
        <v>1569</v>
      </c>
      <c r="C51" s="604"/>
      <c r="D51" s="604"/>
      <c r="E51" s="230"/>
      <c r="F51" s="230"/>
      <c r="G51" s="230"/>
      <c r="H51" s="230"/>
      <c r="I51" s="230"/>
      <c r="J51" s="239"/>
      <c r="K51" s="532"/>
      <c r="L51" s="532"/>
    </row>
    <row r="52" spans="1:12">
      <c r="A52" s="187">
        <v>115</v>
      </c>
      <c r="B52" s="1045" t="s">
        <v>506</v>
      </c>
      <c r="C52" s="611"/>
      <c r="D52" s="612"/>
      <c r="E52" s="235"/>
      <c r="F52" s="235"/>
      <c r="G52" s="235"/>
      <c r="H52" s="235"/>
      <c r="I52" s="395"/>
      <c r="J52" s="395"/>
      <c r="K52" s="532"/>
      <c r="L52" s="532"/>
    </row>
    <row r="53" spans="1:12">
      <c r="A53" s="572"/>
      <c r="B53" s="616"/>
      <c r="C53" s="604"/>
      <c r="D53" s="617"/>
      <c r="E53" s="232"/>
      <c r="F53" s="232"/>
      <c r="G53" s="232"/>
      <c r="H53" s="232"/>
      <c r="I53" s="367" t="s">
        <v>179</v>
      </c>
      <c r="J53" s="230"/>
      <c r="K53" s="532"/>
      <c r="L53" s="532"/>
    </row>
    <row r="54" spans="1:12">
      <c r="A54" s="109">
        <v>250</v>
      </c>
      <c r="B54" s="604"/>
      <c r="C54" s="604" t="s">
        <v>1571</v>
      </c>
      <c r="D54" s="626">
        <f>SUM(D31:D45)+SUM(D52:D52)</f>
        <v>2364830749.4500003</v>
      </c>
      <c r="E54" s="626">
        <f>SUM(E31:E45)+SUM(E52:E52)</f>
        <v>1151250457.6191993</v>
      </c>
      <c r="F54" s="618">
        <f>SUM(F31:F45)+SUM(F52:F52)</f>
        <v>0</v>
      </c>
      <c r="G54" s="618">
        <f>SUM(G31:G45)+SUM(G52:G52)</f>
        <v>316831954.1453923</v>
      </c>
      <c r="H54" s="618">
        <f>SUM(H31:H45)+SUM(H52:H52)</f>
        <v>896748337.68540859</v>
      </c>
      <c r="I54" s="245" t="str">
        <f>"Sum of Above Lines beginning on Line "&amp;A31&amp;""</f>
        <v>Sum of Above Lines beginning on Line 100</v>
      </c>
      <c r="J54" s="230"/>
      <c r="K54" s="532"/>
      <c r="L54" s="532"/>
    </row>
    <row r="55" spans="1:12">
      <c r="A55" s="572"/>
      <c r="B55" s="604"/>
      <c r="C55" s="604"/>
      <c r="D55" s="619"/>
      <c r="E55" s="232"/>
      <c r="F55" s="232"/>
      <c r="G55" s="232"/>
      <c r="H55" s="232"/>
      <c r="I55" s="230"/>
      <c r="J55" s="230"/>
    </row>
    <row r="56" spans="1:12">
      <c r="A56" s="572"/>
      <c r="B56" s="604" t="s">
        <v>1572</v>
      </c>
      <c r="C56" s="604"/>
      <c r="D56" s="619"/>
      <c r="E56" s="232"/>
      <c r="F56" s="232"/>
      <c r="G56" s="232"/>
      <c r="H56" s="232"/>
      <c r="I56" s="943" t="s">
        <v>1881</v>
      </c>
      <c r="J56" s="230"/>
    </row>
    <row r="57" spans="1:12">
      <c r="A57" s="572"/>
      <c r="C57" s="84" t="s">
        <v>359</v>
      </c>
      <c r="D57" s="84" t="s">
        <v>343</v>
      </c>
      <c r="E57" s="84" t="s">
        <v>344</v>
      </c>
      <c r="F57" s="84" t="s">
        <v>345</v>
      </c>
      <c r="G57" s="84" t="s">
        <v>346</v>
      </c>
      <c r="H57" s="84" t="s">
        <v>347</v>
      </c>
      <c r="I57" s="84" t="s">
        <v>348</v>
      </c>
      <c r="J57" s="230"/>
    </row>
    <row r="58" spans="1:12">
      <c r="A58" s="187">
        <v>300</v>
      </c>
      <c r="B58" s="1057">
        <v>190</v>
      </c>
      <c r="C58" s="1046" t="s">
        <v>2698</v>
      </c>
      <c r="D58" s="1047">
        <v>-3401</v>
      </c>
      <c r="E58" s="1059">
        <f>D58</f>
        <v>-3401</v>
      </c>
      <c r="F58" s="1059"/>
      <c r="G58" s="1059"/>
      <c r="H58" s="1059"/>
      <c r="I58" s="1060" t="s">
        <v>2703</v>
      </c>
      <c r="J58" s="1060"/>
    </row>
    <row r="59" spans="1:12" s="1048" customFormat="1">
      <c r="A59" s="1055">
        <f>A58+1</f>
        <v>301</v>
      </c>
      <c r="B59" s="1057">
        <v>190</v>
      </c>
      <c r="C59" s="1046" t="s">
        <v>2699</v>
      </c>
      <c r="D59" s="1047">
        <v>-1683831</v>
      </c>
      <c r="E59" s="1059">
        <f>D59</f>
        <v>-1683831</v>
      </c>
      <c r="F59" s="1059"/>
      <c r="G59" s="1059"/>
      <c r="H59" s="1059"/>
      <c r="I59" s="1060" t="s">
        <v>2704</v>
      </c>
      <c r="J59" s="1060"/>
      <c r="K59" s="14"/>
    </row>
    <row r="60" spans="1:12" s="1048" customFormat="1">
      <c r="A60" s="1055">
        <f>A59+1</f>
        <v>302</v>
      </c>
      <c r="B60" s="1057">
        <v>190</v>
      </c>
      <c r="C60" s="1046" t="s">
        <v>2700</v>
      </c>
      <c r="D60" s="1047">
        <v>898801</v>
      </c>
      <c r="E60" s="1059">
        <f>D60</f>
        <v>898801</v>
      </c>
      <c r="F60" s="1059"/>
      <c r="G60" s="1059"/>
      <c r="H60" s="1059"/>
      <c r="I60" s="1060" t="s">
        <v>2704</v>
      </c>
      <c r="J60" s="1060"/>
      <c r="K60" s="14"/>
    </row>
    <row r="61" spans="1:12" s="1048" customFormat="1">
      <c r="A61" s="1055">
        <v>303</v>
      </c>
      <c r="B61" s="1057">
        <v>190</v>
      </c>
      <c r="C61" s="1046" t="s">
        <v>2701</v>
      </c>
      <c r="D61" s="1047">
        <v>145793.81</v>
      </c>
      <c r="E61" s="1059">
        <f t="shared" ref="E61:E62" si="2">D61</f>
        <v>145793.81</v>
      </c>
      <c r="F61" s="1059"/>
      <c r="G61" s="1059"/>
      <c r="H61" s="1059"/>
      <c r="I61" s="1060" t="s">
        <v>2694</v>
      </c>
      <c r="J61" s="1060"/>
      <c r="K61" s="14"/>
    </row>
    <row r="62" spans="1:12" s="1048" customFormat="1">
      <c r="A62" s="1055">
        <v>304</v>
      </c>
      <c r="B62" s="1057">
        <v>190</v>
      </c>
      <c r="C62" s="1046" t="s">
        <v>2702</v>
      </c>
      <c r="D62" s="1047">
        <v>10334182.949999992</v>
      </c>
      <c r="E62" s="1059">
        <f t="shared" si="2"/>
        <v>10334182.949999992</v>
      </c>
      <c r="F62" s="1059"/>
      <c r="G62" s="1059"/>
      <c r="H62" s="1059"/>
      <c r="I62" s="1060" t="s">
        <v>2694</v>
      </c>
      <c r="J62" s="1060"/>
      <c r="K62" s="14"/>
    </row>
    <row r="63" spans="1:12" s="1048" customFormat="1">
      <c r="A63" s="1055">
        <v>305</v>
      </c>
      <c r="B63" s="1057" t="s">
        <v>506</v>
      </c>
      <c r="C63" s="1046"/>
      <c r="D63" s="1047"/>
      <c r="E63" s="1059"/>
      <c r="F63" s="1059"/>
      <c r="G63" s="1059"/>
      <c r="H63" s="1059"/>
      <c r="I63" s="1060"/>
      <c r="J63" s="1060"/>
      <c r="K63" s="14"/>
    </row>
    <row r="64" spans="1:12">
      <c r="A64" s="572"/>
      <c r="B64" s="616"/>
      <c r="C64" s="614"/>
      <c r="D64" s="615"/>
      <c r="E64" s="234"/>
      <c r="F64" s="234"/>
      <c r="G64" s="234"/>
      <c r="H64" s="234"/>
      <c r="I64" s="239"/>
      <c r="J64" s="239"/>
    </row>
    <row r="65" spans="1:10">
      <c r="A65" s="572"/>
      <c r="B65" s="616"/>
      <c r="C65" s="84" t="s">
        <v>359</v>
      </c>
      <c r="D65" s="84" t="s">
        <v>343</v>
      </c>
      <c r="E65" s="84" t="s">
        <v>344</v>
      </c>
      <c r="F65" s="84" t="s">
        <v>345</v>
      </c>
      <c r="G65" s="84" t="s">
        <v>346</v>
      </c>
      <c r="H65" s="84" t="s">
        <v>347</v>
      </c>
      <c r="I65" s="367" t="s">
        <v>179</v>
      </c>
      <c r="J65" s="230"/>
    </row>
    <row r="66" spans="1:10">
      <c r="A66" s="551">
        <v>350</v>
      </c>
      <c r="B66" s="604"/>
      <c r="C66" s="604" t="s">
        <v>1573</v>
      </c>
      <c r="D66" s="626">
        <f>SUM(D58:D63)</f>
        <v>9691545.7599999923</v>
      </c>
      <c r="E66" s="626">
        <f>SUM(E58:E63)</f>
        <v>9691545.7599999923</v>
      </c>
      <c r="F66" s="618">
        <f>SUM(F58:F63)</f>
        <v>0</v>
      </c>
      <c r="G66" s="618">
        <f>SUM(G58:G63)</f>
        <v>0</v>
      </c>
      <c r="H66" s="618">
        <f>SUM(H58:H63)</f>
        <v>0</v>
      </c>
      <c r="I66" s="245" t="str">
        <f>"Sum of Above Lines beginning on Line "&amp;A58&amp;""</f>
        <v>Sum of Above Lines beginning on Line 300</v>
      </c>
      <c r="J66" s="230"/>
    </row>
    <row r="67" spans="1:10">
      <c r="A67" s="551"/>
      <c r="B67" s="604"/>
      <c r="C67" s="604"/>
      <c r="D67" s="618"/>
      <c r="E67" s="618"/>
      <c r="F67" s="618"/>
      <c r="G67" s="618"/>
      <c r="H67" s="618"/>
      <c r="I67" s="245"/>
      <c r="J67" s="230"/>
    </row>
    <row r="68" spans="1:10">
      <c r="A68" s="551">
        <f>A66+1</f>
        <v>351</v>
      </c>
      <c r="B68" s="604"/>
      <c r="C68" s="604" t="s">
        <v>1574</v>
      </c>
      <c r="D68" s="618">
        <f>+D66+D54</f>
        <v>2374522295.2100005</v>
      </c>
      <c r="E68" s="618">
        <f>+E66+E54</f>
        <v>1160942003.3791993</v>
      </c>
      <c r="F68" s="618">
        <f>+F66+F54</f>
        <v>0</v>
      </c>
      <c r="G68" s="618">
        <f>+G66+G54</f>
        <v>316831954.1453923</v>
      </c>
      <c r="H68" s="618">
        <f>+H66+H54</f>
        <v>896748337.68540859</v>
      </c>
      <c r="I68" s="538" t="str">
        <f>"Line "&amp;A54&amp;" + Line "&amp;A66&amp;""</f>
        <v>Line 250 + Line 350</v>
      </c>
      <c r="J68" s="230"/>
    </row>
    <row r="69" spans="1:10">
      <c r="A69" s="551">
        <f>+A68+1</f>
        <v>352</v>
      </c>
      <c r="B69" s="604"/>
      <c r="C69" s="604" t="s">
        <v>1618</v>
      </c>
      <c r="D69" s="618"/>
      <c r="E69" s="618"/>
      <c r="F69" s="618"/>
      <c r="G69" s="620">
        <f>'27-Allocators'!$G$23</f>
        <v>0.18668153702052509</v>
      </c>
      <c r="H69" s="620">
        <f>'27-Allocators'!$G$10</f>
        <v>6.5693761162178274E-2</v>
      </c>
      <c r="I69" s="742" t="str">
        <f>"27-Allocators Lines "&amp;'27-Allocators'!A23&amp;" and "&amp;'27-Allocators'!A10&amp;" respectively."</f>
        <v>27-Allocators Lines 18 and 5 respectively.</v>
      </c>
      <c r="J69" s="230"/>
    </row>
    <row r="70" spans="1:10">
      <c r="A70" s="551">
        <f>+A69+1</f>
        <v>353</v>
      </c>
      <c r="B70" s="604"/>
      <c r="C70" s="604" t="s">
        <v>1619</v>
      </c>
      <c r="D70" s="618">
        <f>SUM(F70:H70)</f>
        <v>118057447.29556398</v>
      </c>
      <c r="E70" s="618"/>
      <c r="F70" s="621">
        <f>+F68</f>
        <v>0</v>
      </c>
      <c r="G70" s="621">
        <f>+G68*G69</f>
        <v>59146676.177078359</v>
      </c>
      <c r="H70" s="621">
        <f>+H68*H69</f>
        <v>58910771.118485622</v>
      </c>
      <c r="I70" s="538" t="str">
        <f>"Line "&amp;A68&amp;" * Line "&amp;A69&amp;" for Cols 5 and 6.  Col. 4 100% ISO."</f>
        <v>Line 351 * Line 352 for Cols 5 and 6.  Col. 4 100% ISO.</v>
      </c>
      <c r="J70" s="230"/>
    </row>
    <row r="71" spans="1:10">
      <c r="A71" s="551"/>
      <c r="B71" s="604"/>
      <c r="C71" s="622" t="s">
        <v>1621</v>
      </c>
      <c r="D71" s="618"/>
      <c r="E71" s="618"/>
      <c r="F71" s="618"/>
      <c r="G71" s="618"/>
      <c r="H71" s="618"/>
      <c r="I71" s="538"/>
      <c r="J71" s="230"/>
    </row>
    <row r="72" spans="1:10">
      <c r="A72" s="551"/>
      <c r="B72" s="604"/>
      <c r="C72" s="604"/>
      <c r="D72" s="618"/>
      <c r="E72" s="618"/>
      <c r="F72" s="618"/>
      <c r="G72" s="618"/>
      <c r="H72" s="618"/>
      <c r="I72" s="538"/>
      <c r="J72" s="230"/>
    </row>
    <row r="73" spans="1:10">
      <c r="A73" s="551">
        <f>+A70+1</f>
        <v>354</v>
      </c>
      <c r="B73" s="604"/>
      <c r="C73" s="604" t="s">
        <v>1575</v>
      </c>
      <c r="D73" s="1058">
        <v>2374522295</v>
      </c>
      <c r="E73" s="623" t="str">
        <f>"Must match amount on Line "&amp;A68&amp;", Col. 2"</f>
        <v>Must match amount on Line 351, Col. 2</v>
      </c>
      <c r="G73" s="618"/>
      <c r="H73" s="618"/>
      <c r="I73" s="538" t="s">
        <v>1219</v>
      </c>
      <c r="J73" s="230"/>
    </row>
    <row r="74" spans="1:10">
      <c r="A74" s="572"/>
      <c r="B74" s="604"/>
      <c r="C74" s="604"/>
      <c r="D74" s="624"/>
      <c r="E74" s="624"/>
      <c r="F74" s="624"/>
      <c r="G74" s="624"/>
      <c r="H74" s="624"/>
      <c r="I74" s="539"/>
      <c r="J74" s="230"/>
    </row>
    <row r="75" spans="1:10">
      <c r="A75" s="476"/>
      <c r="B75" s="603" t="s">
        <v>1576</v>
      </c>
      <c r="C75" s="625"/>
      <c r="D75" s="624"/>
      <c r="E75" s="230"/>
      <c r="F75" s="230"/>
      <c r="G75" s="230"/>
      <c r="H75" s="230"/>
      <c r="I75" s="230"/>
      <c r="J75" s="230"/>
    </row>
    <row r="76" spans="1:10">
      <c r="A76" s="476"/>
      <c r="C76" s="84" t="s">
        <v>359</v>
      </c>
      <c r="D76" s="84" t="s">
        <v>343</v>
      </c>
      <c r="E76" s="84" t="s">
        <v>344</v>
      </c>
      <c r="F76" s="84" t="s">
        <v>345</v>
      </c>
      <c r="G76" s="84" t="s">
        <v>346</v>
      </c>
      <c r="H76" s="84" t="s">
        <v>347</v>
      </c>
      <c r="I76" s="84" t="s">
        <v>348</v>
      </c>
      <c r="J76" s="230"/>
    </row>
    <row r="77" spans="1:10">
      <c r="A77" s="476"/>
      <c r="B77" s="607"/>
      <c r="C77" s="607"/>
      <c r="D77" s="607" t="s">
        <v>1560</v>
      </c>
      <c r="E77" s="607" t="s">
        <v>1561</v>
      </c>
      <c r="F77" s="607"/>
      <c r="G77" s="607"/>
      <c r="H77" s="607" t="s">
        <v>1271</v>
      </c>
      <c r="I77" s="943" t="s">
        <v>1881</v>
      </c>
      <c r="J77" s="230"/>
    </row>
    <row r="78" spans="1:10">
      <c r="A78" s="476"/>
      <c r="B78" s="610" t="s">
        <v>1577</v>
      </c>
      <c r="C78" s="610" t="s">
        <v>1563</v>
      </c>
      <c r="D78" s="610" t="s">
        <v>1564</v>
      </c>
      <c r="E78" s="610" t="s">
        <v>1565</v>
      </c>
      <c r="F78" s="610" t="s">
        <v>1566</v>
      </c>
      <c r="G78" s="610" t="s">
        <v>1567</v>
      </c>
      <c r="H78" s="610" t="s">
        <v>1555</v>
      </c>
      <c r="I78" s="610" t="s">
        <v>100</v>
      </c>
      <c r="J78" s="230"/>
    </row>
    <row r="79" spans="1:10">
      <c r="A79" s="187">
        <v>400</v>
      </c>
      <c r="B79" s="1061">
        <v>282</v>
      </c>
      <c r="C79" s="1062" t="s">
        <v>2705</v>
      </c>
      <c r="D79" s="1063">
        <v>-1188810901.2409992</v>
      </c>
      <c r="E79" s="1059"/>
      <c r="F79" s="1059">
        <f>D79</f>
        <v>-1188810901.2409992</v>
      </c>
      <c r="G79" s="1059"/>
      <c r="H79" s="1059"/>
      <c r="I79" s="1060" t="s">
        <v>2708</v>
      </c>
      <c r="J79" s="1060"/>
    </row>
    <row r="80" spans="1:10">
      <c r="A80" s="187">
        <f t="shared" ref="A80:A85" si="3">A79+1</f>
        <v>401</v>
      </c>
      <c r="B80" s="1061">
        <v>282</v>
      </c>
      <c r="C80" s="1064" t="s">
        <v>2686</v>
      </c>
      <c r="D80" s="1063">
        <v>-6775581015.2690001</v>
      </c>
      <c r="E80" s="1059">
        <f>D80</f>
        <v>-6775581015.2690001</v>
      </c>
      <c r="F80" s="1059"/>
      <c r="G80" s="1059"/>
      <c r="H80" s="1059"/>
      <c r="I80" s="1060" t="s">
        <v>2709</v>
      </c>
      <c r="J80" s="1060"/>
    </row>
    <row r="81" spans="1:11">
      <c r="A81" s="187">
        <f t="shared" si="3"/>
        <v>402</v>
      </c>
      <c r="B81" s="1061">
        <v>282</v>
      </c>
      <c r="C81" s="1062" t="s">
        <v>2706</v>
      </c>
      <c r="D81" s="1063">
        <v>-81849149.929999977</v>
      </c>
      <c r="E81" s="1059">
        <f>D81</f>
        <v>-81849149.929999977</v>
      </c>
      <c r="F81" s="1059"/>
      <c r="G81" s="1059"/>
      <c r="H81" s="1059"/>
      <c r="I81" s="1060" t="s">
        <v>2710</v>
      </c>
      <c r="J81" s="1060"/>
    </row>
    <row r="82" spans="1:11">
      <c r="A82" s="187">
        <f t="shared" si="3"/>
        <v>403</v>
      </c>
      <c r="B82" s="1061">
        <v>282</v>
      </c>
      <c r="C82" s="1062" t="s">
        <v>2707</v>
      </c>
      <c r="D82" s="1063">
        <v>0</v>
      </c>
      <c r="E82" s="1059">
        <f>D82</f>
        <v>0</v>
      </c>
      <c r="F82" s="1059"/>
      <c r="G82" s="1059"/>
      <c r="H82" s="1059"/>
      <c r="I82" s="1060" t="s">
        <v>2711</v>
      </c>
      <c r="J82" s="1060"/>
    </row>
    <row r="83" spans="1:11">
      <c r="A83" s="187">
        <f t="shared" si="3"/>
        <v>404</v>
      </c>
      <c r="B83" s="1061">
        <v>282</v>
      </c>
      <c r="C83" s="1064" t="s">
        <v>2701</v>
      </c>
      <c r="D83" s="1063">
        <v>-919589.19</v>
      </c>
      <c r="E83" s="1059">
        <f>D83</f>
        <v>-919589.19</v>
      </c>
      <c r="F83" s="1059"/>
      <c r="G83" s="1059"/>
      <c r="H83" s="1059"/>
      <c r="I83" s="1060" t="s">
        <v>2703</v>
      </c>
      <c r="J83" s="1060"/>
    </row>
    <row r="84" spans="1:11">
      <c r="A84" s="187">
        <f t="shared" si="3"/>
        <v>405</v>
      </c>
      <c r="B84" s="1061">
        <v>282</v>
      </c>
      <c r="C84" s="1064" t="s">
        <v>2702</v>
      </c>
      <c r="D84" s="1063">
        <v>-4811958.4700000016</v>
      </c>
      <c r="E84" s="1059">
        <f>D84</f>
        <v>-4811958.4700000016</v>
      </c>
      <c r="F84" s="1059"/>
      <c r="G84" s="1059"/>
      <c r="H84" s="1059"/>
      <c r="I84" s="1060" t="s">
        <v>2704</v>
      </c>
      <c r="J84" s="1060"/>
    </row>
    <row r="85" spans="1:11" s="1048" customFormat="1">
      <c r="A85" s="1055">
        <f t="shared" si="3"/>
        <v>406</v>
      </c>
      <c r="B85" s="1052" t="s">
        <v>506</v>
      </c>
      <c r="C85" s="1049"/>
      <c r="D85" s="1053"/>
      <c r="E85" s="1050"/>
      <c r="F85" s="1050"/>
      <c r="G85" s="1050"/>
      <c r="H85" s="1050"/>
      <c r="I85" s="1051"/>
      <c r="J85" s="1051"/>
      <c r="K85" s="14"/>
    </row>
    <row r="86" spans="1:11">
      <c r="A86" s="572"/>
      <c r="B86" s="541"/>
      <c r="C86" s="478"/>
      <c r="D86" s="626"/>
      <c r="E86" s="234"/>
      <c r="F86" s="234"/>
      <c r="G86" s="234"/>
      <c r="H86" s="234"/>
      <c r="I86" s="239"/>
      <c r="J86" s="239"/>
    </row>
    <row r="87" spans="1:11">
      <c r="A87" s="572"/>
      <c r="B87" s="541"/>
      <c r="C87" s="84" t="s">
        <v>359</v>
      </c>
      <c r="D87" s="84" t="s">
        <v>343</v>
      </c>
      <c r="E87" s="84" t="s">
        <v>344</v>
      </c>
      <c r="F87" s="84" t="s">
        <v>345</v>
      </c>
      <c r="G87" s="84" t="s">
        <v>346</v>
      </c>
      <c r="H87" s="84" t="s">
        <v>347</v>
      </c>
      <c r="I87" s="367" t="s">
        <v>179</v>
      </c>
      <c r="J87" s="239"/>
    </row>
    <row r="88" spans="1:11">
      <c r="A88" s="109">
        <v>450</v>
      </c>
      <c r="B88" s="477"/>
      <c r="C88" s="476" t="s">
        <v>1617</v>
      </c>
      <c r="D88" s="618">
        <f>SUM(D79:D85)</f>
        <v>-8051972614.0999994</v>
      </c>
      <c r="E88" s="618">
        <f>SUM(E79:E85)</f>
        <v>-6863161712.8590002</v>
      </c>
      <c r="F88" s="618">
        <f>SUM(F79:F85)</f>
        <v>-1188810901.2409992</v>
      </c>
      <c r="G88" s="618">
        <f>SUM(G79:G85)</f>
        <v>0</v>
      </c>
      <c r="H88" s="618">
        <f>SUM(H79:H85)</f>
        <v>0</v>
      </c>
      <c r="I88" s="245" t="str">
        <f>"Sum of Above Lines beginning on Line "&amp;A79&amp;""</f>
        <v>Sum of Above Lines beginning on Line 400</v>
      </c>
      <c r="J88" s="230"/>
    </row>
    <row r="89" spans="1:11">
      <c r="A89" s="551">
        <f>+A88+1</f>
        <v>451</v>
      </c>
      <c r="B89" s="604"/>
      <c r="C89" s="604" t="s">
        <v>1618</v>
      </c>
      <c r="D89" s="618"/>
      <c r="E89" s="618"/>
      <c r="F89" s="618"/>
      <c r="G89" s="620">
        <f>'27-Allocators'!$G$23</f>
        <v>0.18668153702052509</v>
      </c>
      <c r="H89" s="620">
        <f>'27-Allocators'!$G$10</f>
        <v>6.5693761162178274E-2</v>
      </c>
      <c r="I89" s="742" t="str">
        <f>"27-Allocators Lines "&amp;'27-Allocators'!A23&amp;" and "&amp;'27-Allocators'!A10&amp;" respectively."</f>
        <v>27-Allocators Lines 18 and 5 respectively.</v>
      </c>
      <c r="J89" s="230"/>
    </row>
    <row r="90" spans="1:11">
      <c r="A90" s="551">
        <f>+A89+1</f>
        <v>452</v>
      </c>
      <c r="B90" s="604"/>
      <c r="C90" s="604" t="s">
        <v>1620</v>
      </c>
      <c r="D90" s="618">
        <f>SUM(F90:H90)</f>
        <v>-1188810901.2409992</v>
      </c>
      <c r="E90" s="618"/>
      <c r="F90" s="621">
        <f>+F88</f>
        <v>-1188810901.2409992</v>
      </c>
      <c r="G90" s="621">
        <f>+G88*G89</f>
        <v>0</v>
      </c>
      <c r="H90" s="621">
        <f>+H88*H89</f>
        <v>0</v>
      </c>
      <c r="I90" s="538" t="str">
        <f>"Line "&amp;A88&amp;" * Line "&amp;A89&amp;" for Cols 5 and 6.  Col. 4 100% ISO."</f>
        <v>Line 450 * Line 451 for Cols 5 and 6.  Col. 4 100% ISO.</v>
      </c>
      <c r="J90" s="230"/>
    </row>
    <row r="91" spans="1:11">
      <c r="A91" s="551"/>
      <c r="B91" s="604"/>
      <c r="C91" s="622" t="s">
        <v>1621</v>
      </c>
      <c r="D91" s="618"/>
      <c r="E91" s="618"/>
      <c r="F91" s="618"/>
      <c r="G91" s="618"/>
      <c r="H91" s="618"/>
      <c r="I91" s="538"/>
      <c r="J91" s="230"/>
    </row>
    <row r="92" spans="1:11">
      <c r="A92" s="109"/>
      <c r="B92" s="477"/>
      <c r="C92" s="476"/>
      <c r="D92" s="618"/>
      <c r="E92" s="618"/>
      <c r="F92" s="618"/>
      <c r="G92" s="618"/>
      <c r="H92" s="618"/>
      <c r="I92" s="245"/>
      <c r="J92" s="230"/>
    </row>
    <row r="93" spans="1:11">
      <c r="A93" s="109">
        <f>+A90+1</f>
        <v>453</v>
      </c>
      <c r="B93" s="477"/>
      <c r="C93" s="604" t="s">
        <v>1578</v>
      </c>
      <c r="D93" s="1058">
        <v>-8051972613</v>
      </c>
      <c r="E93" s="623" t="str">
        <f>"Must match amount on Line "&amp;A88&amp;", Col. 2"</f>
        <v>Must match amount on Line 450, Col. 2</v>
      </c>
      <c r="F93" s="618"/>
      <c r="G93" s="618"/>
      <c r="H93" s="618"/>
      <c r="I93" s="245" t="s">
        <v>1579</v>
      </c>
      <c r="J93" s="230"/>
    </row>
    <row r="94" spans="1:11">
      <c r="A94" s="572"/>
      <c r="B94" s="477"/>
      <c r="C94" s="476"/>
      <c r="D94" s="618"/>
      <c r="E94" s="618"/>
      <c r="F94" s="618"/>
      <c r="G94" s="618"/>
      <c r="H94" s="618"/>
      <c r="I94" s="245"/>
      <c r="J94" s="230"/>
    </row>
    <row r="95" spans="1:11">
      <c r="A95" s="572"/>
      <c r="B95" s="477"/>
      <c r="C95" s="476"/>
      <c r="D95" s="618"/>
      <c r="E95" s="618"/>
      <c r="F95" s="618"/>
      <c r="G95" s="618"/>
      <c r="H95" s="618"/>
      <c r="I95" s="539"/>
      <c r="J95" s="230"/>
    </row>
    <row r="96" spans="1:11">
      <c r="A96" s="476"/>
      <c r="B96" s="603" t="s">
        <v>1580</v>
      </c>
      <c r="C96" s="627"/>
      <c r="D96" s="618"/>
      <c r="E96" s="232"/>
      <c r="F96" s="232"/>
      <c r="G96" s="232"/>
      <c r="H96" s="232"/>
      <c r="I96" s="230"/>
      <c r="J96" s="230"/>
    </row>
    <row r="97" spans="1:11">
      <c r="A97" s="476"/>
      <c r="B97" s="603"/>
      <c r="C97" s="84" t="s">
        <v>359</v>
      </c>
      <c r="D97" s="84" t="s">
        <v>343</v>
      </c>
      <c r="E97" s="84" t="s">
        <v>344</v>
      </c>
      <c r="F97" s="84" t="s">
        <v>345</v>
      </c>
      <c r="G97" s="84" t="s">
        <v>346</v>
      </c>
      <c r="H97" s="84" t="s">
        <v>347</v>
      </c>
      <c r="I97" s="84" t="s">
        <v>348</v>
      </c>
      <c r="J97" s="230"/>
    </row>
    <row r="98" spans="1:11">
      <c r="A98" s="476"/>
      <c r="B98" s="607"/>
      <c r="C98" s="607"/>
      <c r="D98" s="628" t="s">
        <v>1560</v>
      </c>
      <c r="E98" s="628" t="s">
        <v>1561</v>
      </c>
      <c r="F98" s="628"/>
      <c r="G98" s="628"/>
      <c r="H98" s="628" t="s">
        <v>1271</v>
      </c>
      <c r="I98" s="943" t="s">
        <v>1881</v>
      </c>
      <c r="J98" s="230"/>
    </row>
    <row r="99" spans="1:11">
      <c r="A99" s="476"/>
      <c r="B99" s="610" t="s">
        <v>1581</v>
      </c>
      <c r="C99" s="610" t="s">
        <v>1563</v>
      </c>
      <c r="D99" s="629" t="s">
        <v>1564</v>
      </c>
      <c r="E99" s="629" t="s">
        <v>1565</v>
      </c>
      <c r="F99" s="629" t="s">
        <v>1566</v>
      </c>
      <c r="G99" s="629" t="s">
        <v>1567</v>
      </c>
      <c r="H99" s="629" t="s">
        <v>1555</v>
      </c>
      <c r="I99" s="610" t="s">
        <v>100</v>
      </c>
      <c r="J99" s="230"/>
    </row>
    <row r="100" spans="1:11">
      <c r="A100" s="572"/>
      <c r="B100" s="604" t="s">
        <v>1569</v>
      </c>
      <c r="C100" s="230"/>
      <c r="D100" s="232"/>
      <c r="E100" s="232"/>
      <c r="F100" s="232"/>
      <c r="G100" s="232"/>
      <c r="H100" s="232"/>
      <c r="I100" s="230"/>
      <c r="J100" s="230"/>
    </row>
    <row r="101" spans="1:11">
      <c r="A101" s="187">
        <v>500</v>
      </c>
      <c r="B101" s="1061">
        <v>283</v>
      </c>
      <c r="C101" s="1064" t="s">
        <v>2712</v>
      </c>
      <c r="D101" s="740">
        <v>-50569341.669999994</v>
      </c>
      <c r="E101" s="1059">
        <f>+D101</f>
        <v>-50569341.669999994</v>
      </c>
      <c r="F101" s="1059"/>
      <c r="G101" s="1059"/>
      <c r="H101" s="1059"/>
      <c r="I101" s="1060" t="s">
        <v>2715</v>
      </c>
      <c r="J101" s="1051"/>
    </row>
    <row r="102" spans="1:11">
      <c r="A102" s="187">
        <f t="shared" ref="A102:A107" si="4">A101+1</f>
        <v>501</v>
      </c>
      <c r="B102" s="1061">
        <v>283</v>
      </c>
      <c r="C102" s="1064" t="s">
        <v>2712</v>
      </c>
      <c r="D102" s="740">
        <v>-8664107.9600000009</v>
      </c>
      <c r="E102" s="1059"/>
      <c r="F102" s="1059">
        <f>+D102</f>
        <v>-8664107.9600000009</v>
      </c>
      <c r="G102" s="1059"/>
      <c r="H102" s="1059"/>
      <c r="I102" s="1060" t="s">
        <v>2716</v>
      </c>
      <c r="J102" s="1051"/>
    </row>
    <row r="103" spans="1:11">
      <c r="A103" s="187">
        <f t="shared" si="4"/>
        <v>502</v>
      </c>
      <c r="B103" s="1061">
        <v>283</v>
      </c>
      <c r="C103" s="1064" t="s">
        <v>2713</v>
      </c>
      <c r="D103" s="740">
        <v>-33097557.539999999</v>
      </c>
      <c r="E103" s="1059">
        <f>D103*$G$177</f>
        <v>-29689.711512403468</v>
      </c>
      <c r="F103" s="1059"/>
      <c r="G103" s="1059">
        <f>D103-E103</f>
        <v>-33067867.828487597</v>
      </c>
      <c r="H103" s="1059"/>
      <c r="I103" s="1060" t="s">
        <v>2690</v>
      </c>
      <c r="J103" s="1051"/>
    </row>
    <row r="104" spans="1:11">
      <c r="A104" s="187">
        <f t="shared" si="4"/>
        <v>503</v>
      </c>
      <c r="B104" s="1061">
        <v>283</v>
      </c>
      <c r="C104" s="1064" t="s">
        <v>2714</v>
      </c>
      <c r="D104" s="740">
        <v>-1593695.4000000001</v>
      </c>
      <c r="E104" s="1059">
        <f>D104*$G$169</f>
        <v>-5581.9626106956403</v>
      </c>
      <c r="F104" s="1059"/>
      <c r="G104" s="1059"/>
      <c r="H104" s="1059">
        <f>D104-E104</f>
        <v>-1588113.4373893044</v>
      </c>
      <c r="I104" s="1060" t="s">
        <v>2691</v>
      </c>
      <c r="J104" s="1051"/>
    </row>
    <row r="105" spans="1:11">
      <c r="A105" s="187">
        <f t="shared" si="4"/>
        <v>504</v>
      </c>
      <c r="B105" s="1061">
        <v>283</v>
      </c>
      <c r="C105" s="1064" t="s">
        <v>2684</v>
      </c>
      <c r="D105" s="740">
        <v>-567470431.47000003</v>
      </c>
      <c r="E105" s="1059">
        <f>D105</f>
        <v>-567470431.47000003</v>
      </c>
      <c r="F105" s="1059"/>
      <c r="G105" s="1059"/>
      <c r="H105" s="1059"/>
      <c r="I105" s="1060" t="s">
        <v>2693</v>
      </c>
      <c r="J105" s="1051"/>
    </row>
    <row r="106" spans="1:11">
      <c r="A106" s="187">
        <f t="shared" si="4"/>
        <v>505</v>
      </c>
      <c r="B106" s="1061">
        <v>283</v>
      </c>
      <c r="C106" s="1064" t="s">
        <v>2683</v>
      </c>
      <c r="D106" s="740">
        <v>-449253649.64999998</v>
      </c>
      <c r="E106" s="1059">
        <f>D106</f>
        <v>-449253649.64999998</v>
      </c>
      <c r="F106" s="1059"/>
      <c r="G106" s="1059"/>
      <c r="H106" s="1059"/>
      <c r="I106" s="1060" t="s">
        <v>2692</v>
      </c>
      <c r="J106" s="1051"/>
    </row>
    <row r="107" spans="1:11">
      <c r="A107" s="187">
        <f t="shared" si="4"/>
        <v>506</v>
      </c>
      <c r="B107" s="1061">
        <v>283</v>
      </c>
      <c r="C107" s="1064" t="s">
        <v>2687</v>
      </c>
      <c r="D107" s="740">
        <v>57886962.789999999</v>
      </c>
      <c r="E107" s="1088">
        <f>D107</f>
        <v>57886962.789999999</v>
      </c>
      <c r="F107" s="1059"/>
      <c r="G107" s="1059"/>
      <c r="H107" s="1059"/>
      <c r="I107" s="1060" t="s">
        <v>2695</v>
      </c>
      <c r="J107" s="1051"/>
    </row>
    <row r="108" spans="1:11" s="1048" customFormat="1">
      <c r="A108" s="1055">
        <v>507</v>
      </c>
      <c r="B108" s="1061">
        <v>283</v>
      </c>
      <c r="C108" s="1064" t="s">
        <v>2688</v>
      </c>
      <c r="D108" s="740">
        <v>252487819.91999999</v>
      </c>
      <c r="E108" s="1088">
        <f>D108</f>
        <v>252487819.91999999</v>
      </c>
      <c r="F108" s="1059"/>
      <c r="G108" s="1059"/>
      <c r="H108" s="1059"/>
      <c r="I108" s="1060" t="s">
        <v>2717</v>
      </c>
      <c r="J108" s="1051"/>
      <c r="K108" s="14"/>
    </row>
    <row r="109" spans="1:11">
      <c r="A109" s="109"/>
      <c r="B109" s="544"/>
      <c r="C109" s="545"/>
      <c r="D109" s="546"/>
      <c r="E109" s="234"/>
      <c r="F109" s="234"/>
      <c r="G109" s="234"/>
      <c r="H109" s="234"/>
      <c r="I109" s="239"/>
      <c r="J109" s="239"/>
    </row>
    <row r="110" spans="1:11">
      <c r="A110" s="109"/>
      <c r="B110" s="603" t="s">
        <v>1582</v>
      </c>
      <c r="C110" s="627"/>
      <c r="D110" s="618"/>
      <c r="E110" s="232"/>
      <c r="F110" s="232"/>
      <c r="G110" s="232"/>
      <c r="H110" s="232"/>
      <c r="I110" s="230"/>
      <c r="J110" s="239"/>
    </row>
    <row r="111" spans="1:11">
      <c r="A111" s="109"/>
      <c r="B111" s="603"/>
      <c r="C111" s="84" t="s">
        <v>359</v>
      </c>
      <c r="D111" s="84" t="s">
        <v>343</v>
      </c>
      <c r="E111" s="84" t="s">
        <v>344</v>
      </c>
      <c r="F111" s="84" t="s">
        <v>345</v>
      </c>
      <c r="G111" s="84" t="s">
        <v>346</v>
      </c>
      <c r="H111" s="84" t="s">
        <v>347</v>
      </c>
      <c r="I111" s="84" t="s">
        <v>348</v>
      </c>
      <c r="J111" s="239"/>
    </row>
    <row r="112" spans="1:11">
      <c r="A112" s="109"/>
      <c r="B112" s="607"/>
      <c r="C112" s="607"/>
      <c r="D112" s="628" t="s">
        <v>1560</v>
      </c>
      <c r="E112" s="628" t="s">
        <v>1561</v>
      </c>
      <c r="F112" s="628"/>
      <c r="G112" s="628"/>
      <c r="H112" s="628" t="s">
        <v>1271</v>
      </c>
      <c r="I112" s="943" t="s">
        <v>1881</v>
      </c>
      <c r="J112" s="239"/>
    </row>
    <row r="113" spans="1:11">
      <c r="A113" s="109"/>
      <c r="B113" s="610" t="s">
        <v>1581</v>
      </c>
      <c r="C113" s="610" t="s">
        <v>1563</v>
      </c>
      <c r="D113" s="629" t="s">
        <v>1564</v>
      </c>
      <c r="E113" s="629" t="s">
        <v>1565</v>
      </c>
      <c r="F113" s="629" t="s">
        <v>1566</v>
      </c>
      <c r="G113" s="629" t="s">
        <v>1567</v>
      </c>
      <c r="H113" s="629" t="s">
        <v>1555</v>
      </c>
      <c r="I113" s="610" t="s">
        <v>100</v>
      </c>
      <c r="J113" s="239"/>
    </row>
    <row r="114" spans="1:11">
      <c r="A114" s="109"/>
      <c r="B114" s="604" t="s">
        <v>1583</v>
      </c>
      <c r="C114" s="607"/>
      <c r="D114" s="628"/>
      <c r="E114" s="628"/>
      <c r="F114" s="628"/>
      <c r="G114" s="628"/>
      <c r="H114" s="628"/>
      <c r="I114" s="607"/>
      <c r="J114" s="239"/>
    </row>
    <row r="115" spans="1:11">
      <c r="A115" s="1055">
        <v>507</v>
      </c>
      <c r="B115" s="1057" t="s">
        <v>506</v>
      </c>
      <c r="C115" s="542"/>
      <c r="D115" s="543"/>
      <c r="E115" s="1089"/>
      <c r="F115" s="1056"/>
      <c r="G115" s="1056"/>
      <c r="H115" s="1056"/>
      <c r="I115" s="1051"/>
      <c r="J115" s="1051"/>
    </row>
    <row r="116" spans="1:11">
      <c r="A116" s="109"/>
      <c r="B116" s="547"/>
      <c r="C116" s="548"/>
      <c r="D116" s="479"/>
      <c r="E116" s="234"/>
      <c r="F116" s="234"/>
      <c r="G116" s="234"/>
      <c r="H116" s="234"/>
      <c r="I116" s="239"/>
      <c r="J116" s="239"/>
    </row>
    <row r="117" spans="1:11">
      <c r="A117" s="109">
        <v>650</v>
      </c>
      <c r="B117" s="548"/>
      <c r="C117" s="548" t="s">
        <v>1584</v>
      </c>
      <c r="D117" s="479">
        <f>SUM(D101:D108)+SUM(D115:D115)</f>
        <v>-800274000.98000014</v>
      </c>
      <c r="E117" s="479">
        <f>SUM(E101:E108)+SUM(E115:E115)</f>
        <v>-756953911.75412321</v>
      </c>
      <c r="F117" s="479">
        <f>SUM(F101:F108)+SUM(F115:F115)</f>
        <v>-8664107.9600000009</v>
      </c>
      <c r="G117" s="479">
        <f>SUM(G101:G108)+SUM(G115:G115)</f>
        <v>-33067867.828487597</v>
      </c>
      <c r="H117" s="479">
        <f>SUM(H101:H108)+SUM(H115:H115)</f>
        <v>-1588113.4373893044</v>
      </c>
      <c r="I117" s="245" t="str">
        <f>"Sum of Above Lines beginning on Line "&amp;A101&amp;""</f>
        <v>Sum of Above Lines beginning on Line 500</v>
      </c>
      <c r="J117" s="230"/>
    </row>
    <row r="118" spans="1:11">
      <c r="A118" s="109"/>
      <c r="B118" s="548"/>
      <c r="C118" s="548"/>
      <c r="D118" s="479"/>
      <c r="E118" s="479"/>
      <c r="F118" s="479"/>
      <c r="G118" s="479"/>
      <c r="H118" s="479"/>
      <c r="I118" s="539"/>
      <c r="J118" s="230"/>
    </row>
    <row r="119" spans="1:11">
      <c r="A119" s="572"/>
      <c r="B119" s="614" t="s">
        <v>1711</v>
      </c>
      <c r="C119" s="548"/>
      <c r="D119" s="479"/>
      <c r="E119" s="232"/>
      <c r="F119" s="232"/>
      <c r="G119" s="232"/>
      <c r="H119" s="232"/>
      <c r="I119" s="943" t="s">
        <v>1881</v>
      </c>
      <c r="J119" s="230"/>
    </row>
    <row r="120" spans="1:11">
      <c r="A120" s="572"/>
      <c r="C120" s="84" t="s">
        <v>359</v>
      </c>
      <c r="D120" s="84" t="s">
        <v>343</v>
      </c>
      <c r="E120" s="84" t="s">
        <v>344</v>
      </c>
      <c r="F120" s="84" t="s">
        <v>345</v>
      </c>
      <c r="G120" s="84" t="s">
        <v>346</v>
      </c>
      <c r="H120" s="84" t="s">
        <v>347</v>
      </c>
      <c r="I120" s="84" t="s">
        <v>348</v>
      </c>
      <c r="J120" s="230"/>
    </row>
    <row r="121" spans="1:11" s="1048" customFormat="1">
      <c r="A121" s="1055">
        <v>700</v>
      </c>
      <c r="B121" s="1061">
        <v>283</v>
      </c>
      <c r="C121" s="1064" t="s">
        <v>2698</v>
      </c>
      <c r="D121" s="741">
        <v>-17511.839999999997</v>
      </c>
      <c r="E121" s="1059"/>
      <c r="F121" s="1059"/>
      <c r="G121" s="1059"/>
      <c r="H121" s="1059"/>
      <c r="I121" s="1060" t="s">
        <v>2703</v>
      </c>
      <c r="J121" s="1060"/>
      <c r="K121" s="14"/>
    </row>
    <row r="122" spans="1:11" s="1048" customFormat="1">
      <c r="A122" s="1090">
        <f>A121+1</f>
        <v>701</v>
      </c>
      <c r="B122" s="1061">
        <v>283</v>
      </c>
      <c r="C122" s="1064" t="s">
        <v>2699</v>
      </c>
      <c r="D122" s="741">
        <v>-654218.14999999991</v>
      </c>
      <c r="E122" s="1059"/>
      <c r="F122" s="1059"/>
      <c r="G122" s="1059"/>
      <c r="H122" s="1059"/>
      <c r="I122" s="1060" t="s">
        <v>2704</v>
      </c>
      <c r="J122" s="1060"/>
      <c r="K122" s="14"/>
    </row>
    <row r="123" spans="1:11">
      <c r="A123" s="1090">
        <f>A122+1</f>
        <v>702</v>
      </c>
      <c r="B123" s="1091" t="s">
        <v>506</v>
      </c>
      <c r="C123" s="1064"/>
      <c r="D123" s="741"/>
      <c r="E123" s="1088"/>
      <c r="F123" s="1088"/>
      <c r="G123" s="1088"/>
      <c r="H123" s="1088"/>
      <c r="I123" s="1092"/>
      <c r="J123" s="1092"/>
    </row>
    <row r="124" spans="1:11">
      <c r="A124" s="109"/>
      <c r="B124" s="544"/>
      <c r="C124" s="545"/>
      <c r="D124" s="546"/>
      <c r="E124" s="234"/>
      <c r="F124" s="234"/>
      <c r="G124" s="234"/>
      <c r="H124" s="234"/>
      <c r="I124" s="239"/>
      <c r="J124" s="239"/>
    </row>
    <row r="125" spans="1:11">
      <c r="A125" s="109"/>
      <c r="B125" s="548"/>
      <c r="C125" s="84" t="s">
        <v>359</v>
      </c>
      <c r="D125" s="84" t="s">
        <v>343</v>
      </c>
      <c r="E125" s="84" t="s">
        <v>344</v>
      </c>
      <c r="F125" s="84" t="s">
        <v>345</v>
      </c>
      <c r="G125" s="84" t="s">
        <v>346</v>
      </c>
      <c r="H125" s="84" t="s">
        <v>347</v>
      </c>
      <c r="I125" s="367" t="s">
        <v>179</v>
      </c>
      <c r="J125" s="230"/>
    </row>
    <row r="126" spans="1:11">
      <c r="A126" s="109">
        <v>800</v>
      </c>
      <c r="B126" s="230"/>
      <c r="C126" s="478" t="s">
        <v>1585</v>
      </c>
      <c r="D126" s="479">
        <f>SUM(D121:D123)</f>
        <v>-671729.98999999987</v>
      </c>
      <c r="E126" s="479">
        <f>SUM(E121:E123)</f>
        <v>0</v>
      </c>
      <c r="F126" s="479">
        <f>SUM(F123:F123)</f>
        <v>0</v>
      </c>
      <c r="G126" s="479">
        <f>SUM(G123:G123)</f>
        <v>0</v>
      </c>
      <c r="H126" s="479">
        <f>SUM(H123:H123)</f>
        <v>0</v>
      </c>
      <c r="I126" s="245" t="str">
        <f>"Sum of Above Lines beginning on Line "&amp;A121&amp;""</f>
        <v>Sum of Above Lines beginning on Line 700</v>
      </c>
      <c r="J126" s="230"/>
    </row>
    <row r="127" spans="1:11">
      <c r="A127" s="109"/>
      <c r="B127" s="230"/>
      <c r="C127" s="478"/>
      <c r="D127" s="479"/>
      <c r="E127" s="479"/>
      <c r="F127" s="479"/>
      <c r="G127" s="479"/>
      <c r="H127" s="479"/>
      <c r="I127" s="245"/>
      <c r="J127" s="230"/>
    </row>
    <row r="128" spans="1:11">
      <c r="A128" s="109">
        <f>A126+1</f>
        <v>801</v>
      </c>
      <c r="B128" s="230"/>
      <c r="C128" s="478" t="s">
        <v>1586</v>
      </c>
      <c r="D128" s="479">
        <f>D117+D126</f>
        <v>-800945730.97000015</v>
      </c>
      <c r="E128" s="479">
        <f>E117+E126</f>
        <v>-756953911.75412321</v>
      </c>
      <c r="F128" s="479">
        <f>F117+F126</f>
        <v>-8664107.9600000009</v>
      </c>
      <c r="G128" s="479">
        <f>G117+G126</f>
        <v>-33067867.828487597</v>
      </c>
      <c r="H128" s="479">
        <f>H117+H126</f>
        <v>-1588113.4373893044</v>
      </c>
      <c r="I128" s="538" t="str">
        <f>"Line "&amp;A117&amp;" + Line "&amp;A126&amp;""</f>
        <v>Line 650 + Line 800</v>
      </c>
      <c r="J128" s="230"/>
    </row>
    <row r="129" spans="1:11">
      <c r="A129" s="551">
        <f>+A128+1</f>
        <v>802</v>
      </c>
      <c r="B129" s="604"/>
      <c r="C129" s="604" t="s">
        <v>1618</v>
      </c>
      <c r="D129" s="1013"/>
      <c r="E129" s="1013"/>
      <c r="F129" s="618"/>
      <c r="G129" s="620">
        <f>'27-Allocators'!$G$23</f>
        <v>0.18668153702052509</v>
      </c>
      <c r="H129" s="620">
        <f>'27-Allocators'!$G$10</f>
        <v>6.5693761162178274E-2</v>
      </c>
      <c r="I129" s="742" t="str">
        <f>"27-Allocators Lines "&amp;'27-Allocators'!A23&amp;" and "&amp;'27-Allocators'!A10&amp;" respectively."</f>
        <v>27-Allocators Lines 18 and 5 respectively.</v>
      </c>
      <c r="J129" s="230"/>
    </row>
    <row r="130" spans="1:11">
      <c r="A130" s="551">
        <f>+A129+1</f>
        <v>803</v>
      </c>
      <c r="B130" s="604"/>
      <c r="C130" s="604" t="s">
        <v>1622</v>
      </c>
      <c r="D130" s="626">
        <f>SUM(F130:H130)</f>
        <v>-14941597.497067939</v>
      </c>
      <c r="E130" s="618"/>
      <c r="F130" s="621">
        <f>+F128</f>
        <v>-8664107.9600000009</v>
      </c>
      <c r="G130" s="621">
        <f>+G128*G129</f>
        <v>-6173160.3922136379</v>
      </c>
      <c r="H130" s="1075">
        <f>+H128*H129</f>
        <v>-104329.14485429892</v>
      </c>
      <c r="I130" s="538" t="str">
        <f>"Line "&amp;A128&amp;" * Line "&amp;A129&amp;" for Cols 5 and 6.  Col. 4 100% ISO."</f>
        <v>Line 801 * Line 802 for Cols 5 and 6.  Col. 4 100% ISO.</v>
      </c>
      <c r="J130" s="230"/>
    </row>
    <row r="131" spans="1:11">
      <c r="A131" s="109"/>
      <c r="B131" s="230"/>
      <c r="C131" s="622" t="s">
        <v>1621</v>
      </c>
      <c r="D131" s="479"/>
      <c r="E131" s="479"/>
      <c r="F131" s="479"/>
      <c r="G131" s="479"/>
      <c r="H131" s="479"/>
      <c r="I131" s="538"/>
      <c r="J131" s="232"/>
    </row>
    <row r="132" spans="1:11">
      <c r="A132" s="109"/>
      <c r="B132" s="230"/>
      <c r="C132" s="478"/>
      <c r="D132" s="479"/>
      <c r="E132" s="479"/>
      <c r="F132" s="479"/>
      <c r="G132" s="479"/>
      <c r="H132" s="479"/>
      <c r="I132" s="538"/>
      <c r="J132" s="230"/>
    </row>
    <row r="133" spans="1:11">
      <c r="A133" s="109">
        <f>A130+1</f>
        <v>804</v>
      </c>
      <c r="C133" s="604" t="s">
        <v>1612</v>
      </c>
      <c r="D133" s="1058">
        <v>-800945731</v>
      </c>
      <c r="E133" s="623" t="str">
        <f>"Must match amount on Line "&amp;A128&amp;", Col. 2"</f>
        <v>Must match amount on Line 801, Col. 2</v>
      </c>
      <c r="F133" s="618"/>
      <c r="G133" s="618"/>
      <c r="H133" s="618"/>
      <c r="I133" s="245" t="s">
        <v>1215</v>
      </c>
    </row>
    <row r="134" spans="1:11" s="1048" customFormat="1">
      <c r="A134" s="109"/>
      <c r="B134" s="533"/>
      <c r="C134" s="604"/>
      <c r="D134" s="623"/>
      <c r="E134" s="623"/>
      <c r="F134" s="618"/>
      <c r="G134" s="618"/>
      <c r="H134" s="618"/>
      <c r="I134" s="245"/>
      <c r="J134" s="533"/>
      <c r="K134" s="14"/>
    </row>
    <row r="135" spans="1:11" s="1048" customFormat="1">
      <c r="A135" s="109"/>
      <c r="B135" s="1" t="s">
        <v>2501</v>
      </c>
      <c r="C135" s="604"/>
      <c r="D135" s="623"/>
      <c r="E135" s="623"/>
      <c r="F135" s="618"/>
      <c r="G135" s="618"/>
      <c r="H135" s="618"/>
      <c r="I135" s="480"/>
      <c r="J135" s="553"/>
      <c r="K135" s="14"/>
    </row>
    <row r="136" spans="1:11" s="1048" customFormat="1">
      <c r="A136" s="109"/>
      <c r="B136" s="553"/>
      <c r="C136" s="604"/>
      <c r="D136" s="623"/>
      <c r="E136" s="623"/>
      <c r="F136" s="618"/>
      <c r="G136" s="618"/>
      <c r="H136" s="618"/>
      <c r="I136" s="480"/>
      <c r="J136" s="553"/>
      <c r="K136" s="14"/>
    </row>
    <row r="137" spans="1:11" s="1048" customFormat="1">
      <c r="A137" s="109"/>
      <c r="B137" s="553"/>
      <c r="C137" s="358" t="s">
        <v>359</v>
      </c>
      <c r="D137" s="358" t="s">
        <v>343</v>
      </c>
      <c r="E137" s="358" t="s">
        <v>344</v>
      </c>
      <c r="F137" s="358" t="s">
        <v>345</v>
      </c>
      <c r="G137" s="358" t="s">
        <v>346</v>
      </c>
      <c r="H137" s="358" t="s">
        <v>347</v>
      </c>
      <c r="I137" s="358" t="s">
        <v>348</v>
      </c>
      <c r="J137" s="358" t="s">
        <v>537</v>
      </c>
      <c r="K137" s="14"/>
    </row>
    <row r="138" spans="1:11" s="1048" customFormat="1">
      <c r="A138" s="109"/>
      <c r="B138" s="553"/>
      <c r="C138" s="604"/>
      <c r="D138" s="1207" t="s">
        <v>212</v>
      </c>
      <c r="E138" s="1207" t="s">
        <v>211</v>
      </c>
      <c r="F138" s="618"/>
      <c r="G138" s="618"/>
      <c r="H138" s="1207" t="s">
        <v>2428</v>
      </c>
      <c r="I138" s="1208" t="s">
        <v>2429</v>
      </c>
      <c r="J138" s="1207" t="s">
        <v>282</v>
      </c>
      <c r="K138" s="14"/>
    </row>
    <row r="139" spans="1:11" s="1048" customFormat="1">
      <c r="A139" s="109"/>
      <c r="B139" s="553"/>
      <c r="C139" s="604"/>
      <c r="D139" s="623"/>
      <c r="E139" s="623"/>
      <c r="F139" s="618"/>
      <c r="G139" s="618"/>
      <c r="H139" s="618"/>
      <c r="I139" s="480"/>
      <c r="J139" s="553"/>
      <c r="K139" s="14"/>
    </row>
    <row r="140" spans="1:11" s="1048" customFormat="1">
      <c r="A140" s="109"/>
      <c r="B140" s="553"/>
      <c r="C140" s="643"/>
      <c r="D140" s="1207" t="s">
        <v>2430</v>
      </c>
      <c r="E140" s="1207" t="s">
        <v>2431</v>
      </c>
      <c r="F140" s="1207"/>
      <c r="G140" s="1207" t="s">
        <v>2432</v>
      </c>
      <c r="H140" s="1207" t="s">
        <v>2433</v>
      </c>
      <c r="I140" s="572" t="s">
        <v>2434</v>
      </c>
      <c r="J140" s="572" t="s">
        <v>2435</v>
      </c>
      <c r="K140" s="14"/>
    </row>
    <row r="141" spans="1:11" s="1048" customFormat="1">
      <c r="A141" s="109"/>
      <c r="B141" s="553"/>
      <c r="C141" s="643" t="s">
        <v>2436</v>
      </c>
      <c r="D141" s="1209" t="s">
        <v>2437</v>
      </c>
      <c r="E141" s="1209" t="s">
        <v>2438</v>
      </c>
      <c r="F141" s="1209" t="s">
        <v>2439</v>
      </c>
      <c r="G141" s="1209" t="s">
        <v>2440</v>
      </c>
      <c r="H141" s="1209" t="s">
        <v>2441</v>
      </c>
      <c r="I141" s="3" t="s">
        <v>2442</v>
      </c>
      <c r="J141" s="3" t="s">
        <v>2443</v>
      </c>
      <c r="K141" s="14"/>
    </row>
    <row r="142" spans="1:11" s="1048" customFormat="1">
      <c r="A142" s="109">
        <f>A133+1</f>
        <v>805</v>
      </c>
      <c r="B142" s="553"/>
      <c r="C142" s="1210" t="s">
        <v>2483</v>
      </c>
      <c r="D142" s="1214"/>
      <c r="E142" s="1146">
        <f>D19</f>
        <v>-1642932131</v>
      </c>
      <c r="F142" s="618"/>
      <c r="G142" s="1211">
        <f>SUM(F143:F154)</f>
        <v>365</v>
      </c>
      <c r="H142" s="1212">
        <f xml:space="preserve"> 1</f>
        <v>1</v>
      </c>
      <c r="I142" s="237"/>
      <c r="J142" s="483">
        <f>+E142</f>
        <v>-1642932131</v>
      </c>
      <c r="K142" s="14"/>
    </row>
    <row r="143" spans="1:11" s="1048" customFormat="1">
      <c r="A143" s="109">
        <f>A142+1</f>
        <v>806</v>
      </c>
      <c r="B143" s="553"/>
      <c r="C143" s="1210" t="s">
        <v>181</v>
      </c>
      <c r="D143" s="1215">
        <f>($D$14-$D$19)/12</f>
        <v>1823882.8797913988</v>
      </c>
      <c r="E143" s="1146">
        <f>E142+D143</f>
        <v>-1641108248.1202085</v>
      </c>
      <c r="F143" s="1213">
        <v>31</v>
      </c>
      <c r="G143" s="1206">
        <f>+G142-F143</f>
        <v>334</v>
      </c>
      <c r="H143" s="1212">
        <f>G143/G142</f>
        <v>0.91506849315068495</v>
      </c>
      <c r="I143" s="237">
        <f t="shared" ref="I143:I154" si="5">D143*H143</f>
        <v>1668977.7584940472</v>
      </c>
      <c r="J143" s="232">
        <f>J142+I143</f>
        <v>-1641263153.2415059</v>
      </c>
      <c r="K143" s="14"/>
    </row>
    <row r="144" spans="1:11" s="1048" customFormat="1">
      <c r="A144" s="109">
        <f t="shared" ref="A144:A155" si="6">A143+1</f>
        <v>807</v>
      </c>
      <c r="B144" s="553"/>
      <c r="C144" s="1210" t="s">
        <v>182</v>
      </c>
      <c r="D144" s="1215">
        <f t="shared" ref="D144:D154" si="7">($D$14-$D$19)/12</f>
        <v>1823882.8797913988</v>
      </c>
      <c r="E144" s="1146">
        <f t="shared" ref="E144:E154" si="8">E143+D144</f>
        <v>-1639284365.240417</v>
      </c>
      <c r="F144" s="1213">
        <v>28</v>
      </c>
      <c r="G144" s="1206">
        <f t="shared" ref="G144:G154" si="9">+G143-F144</f>
        <v>306</v>
      </c>
      <c r="H144" s="1212">
        <f>G144/G142</f>
        <v>0.83835616438356164</v>
      </c>
      <c r="I144" s="237">
        <f t="shared" si="5"/>
        <v>1529063.4553867618</v>
      </c>
      <c r="J144" s="232">
        <f t="shared" ref="J144:J154" si="10">J143+I144</f>
        <v>-1639734089.786119</v>
      </c>
      <c r="K144" s="14"/>
    </row>
    <row r="145" spans="1:11" s="1048" customFormat="1">
      <c r="A145" s="109">
        <f t="shared" si="6"/>
        <v>808</v>
      </c>
      <c r="B145" s="553"/>
      <c r="C145" s="1210" t="s">
        <v>195</v>
      </c>
      <c r="D145" s="1215">
        <f t="shared" si="7"/>
        <v>1823882.8797913988</v>
      </c>
      <c r="E145" s="1146">
        <f t="shared" si="8"/>
        <v>-1637460482.3606255</v>
      </c>
      <c r="F145" s="1213">
        <v>31</v>
      </c>
      <c r="G145" s="1206">
        <f t="shared" si="9"/>
        <v>275</v>
      </c>
      <c r="H145" s="1212">
        <f>G145/G142</f>
        <v>0.75342465753424659</v>
      </c>
      <c r="I145" s="237">
        <f t="shared" si="5"/>
        <v>1374158.33408941</v>
      </c>
      <c r="J145" s="232">
        <f t="shared" si="10"/>
        <v>-1638359931.4520295</v>
      </c>
      <c r="K145" s="14"/>
    </row>
    <row r="146" spans="1:11" s="1048" customFormat="1">
      <c r="A146" s="109">
        <f t="shared" si="6"/>
        <v>809</v>
      </c>
      <c r="B146" s="553"/>
      <c r="C146" s="1210" t="s">
        <v>183</v>
      </c>
      <c r="D146" s="1215">
        <f t="shared" si="7"/>
        <v>1823882.8797913988</v>
      </c>
      <c r="E146" s="1146">
        <f t="shared" si="8"/>
        <v>-1635636599.480834</v>
      </c>
      <c r="F146" s="1213">
        <v>30</v>
      </c>
      <c r="G146" s="1206">
        <f t="shared" si="9"/>
        <v>245</v>
      </c>
      <c r="H146" s="1212">
        <f>G146/G142</f>
        <v>0.67123287671232879</v>
      </c>
      <c r="I146" s="237">
        <f t="shared" si="5"/>
        <v>1224250.1521887472</v>
      </c>
      <c r="J146" s="232">
        <f t="shared" si="10"/>
        <v>-1637135681.2998407</v>
      </c>
      <c r="K146" s="14"/>
    </row>
    <row r="147" spans="1:11" s="1048" customFormat="1">
      <c r="A147" s="109">
        <f t="shared" si="6"/>
        <v>810</v>
      </c>
      <c r="B147" s="553"/>
      <c r="C147" s="1210" t="s">
        <v>184</v>
      </c>
      <c r="D147" s="1215">
        <f t="shared" si="7"/>
        <v>1823882.8797913988</v>
      </c>
      <c r="E147" s="1146">
        <f t="shared" si="8"/>
        <v>-1633812716.6010425</v>
      </c>
      <c r="F147" s="1213">
        <v>31</v>
      </c>
      <c r="G147" s="1206">
        <f t="shared" si="9"/>
        <v>214</v>
      </c>
      <c r="H147" s="1212">
        <f>G147/G142</f>
        <v>0.58630136986301373</v>
      </c>
      <c r="I147" s="237">
        <f t="shared" si="5"/>
        <v>1069345.0308913954</v>
      </c>
      <c r="J147" s="232">
        <f t="shared" si="10"/>
        <v>-1636066336.2689493</v>
      </c>
      <c r="K147" s="14"/>
    </row>
    <row r="148" spans="1:11" s="1048" customFormat="1">
      <c r="A148" s="109">
        <f t="shared" si="6"/>
        <v>811</v>
      </c>
      <c r="B148" s="553"/>
      <c r="C148" s="1210" t="s">
        <v>1464</v>
      </c>
      <c r="D148" s="1215">
        <f t="shared" si="7"/>
        <v>1823882.8797913988</v>
      </c>
      <c r="E148" s="1146">
        <f t="shared" si="8"/>
        <v>-1631988833.721251</v>
      </c>
      <c r="F148" s="1213">
        <v>30</v>
      </c>
      <c r="G148" s="1206">
        <f t="shared" si="9"/>
        <v>184</v>
      </c>
      <c r="H148" s="1212">
        <f>G148/G142</f>
        <v>0.50410958904109593</v>
      </c>
      <c r="I148" s="237">
        <f t="shared" si="5"/>
        <v>919436.84899073257</v>
      </c>
      <c r="J148" s="232">
        <f t="shared" si="10"/>
        <v>-1635146899.4199586</v>
      </c>
      <c r="K148" s="14"/>
    </row>
    <row r="149" spans="1:11" s="1048" customFormat="1">
      <c r="A149" s="109">
        <f t="shared" si="6"/>
        <v>812</v>
      </c>
      <c r="B149" s="553"/>
      <c r="C149" s="1210" t="s">
        <v>186</v>
      </c>
      <c r="D149" s="1215">
        <f t="shared" si="7"/>
        <v>1823882.8797913988</v>
      </c>
      <c r="E149" s="1146">
        <f t="shared" si="8"/>
        <v>-1630164950.8414595</v>
      </c>
      <c r="F149" s="1213">
        <v>31</v>
      </c>
      <c r="G149" s="1206">
        <f t="shared" si="9"/>
        <v>153</v>
      </c>
      <c r="H149" s="1212">
        <f>G149/G142</f>
        <v>0.41917808219178082</v>
      </c>
      <c r="I149" s="237">
        <f t="shared" si="5"/>
        <v>764531.7276933809</v>
      </c>
      <c r="J149" s="232">
        <f t="shared" si="10"/>
        <v>-1634382367.6922653</v>
      </c>
      <c r="K149" s="14"/>
    </row>
    <row r="150" spans="1:11" s="1048" customFormat="1">
      <c r="A150" s="109">
        <f t="shared" si="6"/>
        <v>813</v>
      </c>
      <c r="B150" s="553"/>
      <c r="C150" s="1210" t="s">
        <v>187</v>
      </c>
      <c r="D150" s="1215">
        <f t="shared" si="7"/>
        <v>1823882.8797913988</v>
      </c>
      <c r="E150" s="1146">
        <f t="shared" si="8"/>
        <v>-1628341067.961668</v>
      </c>
      <c r="F150" s="1213">
        <v>31</v>
      </c>
      <c r="G150" s="1206">
        <f t="shared" si="9"/>
        <v>122</v>
      </c>
      <c r="H150" s="1212">
        <f>G150/G142</f>
        <v>0.33424657534246577</v>
      </c>
      <c r="I150" s="237">
        <f t="shared" si="5"/>
        <v>609626.60639602924</v>
      </c>
      <c r="J150" s="232">
        <f t="shared" si="10"/>
        <v>-1633772741.0858693</v>
      </c>
      <c r="K150" s="14"/>
    </row>
    <row r="151" spans="1:11" s="1048" customFormat="1">
      <c r="A151" s="109">
        <f t="shared" si="6"/>
        <v>814</v>
      </c>
      <c r="B151" s="553"/>
      <c r="C151" s="1210" t="s">
        <v>188</v>
      </c>
      <c r="D151" s="1215">
        <f t="shared" si="7"/>
        <v>1823882.8797913988</v>
      </c>
      <c r="E151" s="1146">
        <f t="shared" si="8"/>
        <v>-1626517185.0818765</v>
      </c>
      <c r="F151" s="1213">
        <v>30</v>
      </c>
      <c r="G151" s="1206">
        <f t="shared" si="9"/>
        <v>92</v>
      </c>
      <c r="H151" s="1212">
        <f>G151/G142</f>
        <v>0.25205479452054796</v>
      </c>
      <c r="I151" s="237">
        <f t="shared" si="5"/>
        <v>459718.42449536629</v>
      </c>
      <c r="J151" s="232">
        <f t="shared" si="10"/>
        <v>-1633313022.6613739</v>
      </c>
      <c r="K151" s="14"/>
    </row>
    <row r="152" spans="1:11" s="1048" customFormat="1">
      <c r="A152" s="109">
        <f t="shared" si="6"/>
        <v>815</v>
      </c>
      <c r="B152" s="553"/>
      <c r="C152" s="1210" t="s">
        <v>191</v>
      </c>
      <c r="D152" s="1215">
        <f t="shared" si="7"/>
        <v>1823882.8797913988</v>
      </c>
      <c r="E152" s="1146">
        <f t="shared" si="8"/>
        <v>-1624693302.202085</v>
      </c>
      <c r="F152" s="1213">
        <v>31</v>
      </c>
      <c r="G152" s="1206">
        <f t="shared" si="9"/>
        <v>61</v>
      </c>
      <c r="H152" s="1212">
        <f>G152/G142</f>
        <v>0.16712328767123288</v>
      </c>
      <c r="I152" s="237">
        <f t="shared" si="5"/>
        <v>304813.30319801462</v>
      </c>
      <c r="J152" s="232">
        <f t="shared" si="10"/>
        <v>-1633008209.3581758</v>
      </c>
      <c r="K152" s="14"/>
    </row>
    <row r="153" spans="1:11" s="1048" customFormat="1">
      <c r="A153" s="109">
        <f t="shared" si="6"/>
        <v>816</v>
      </c>
      <c r="B153" s="553"/>
      <c r="C153" s="1210" t="s">
        <v>190</v>
      </c>
      <c r="D153" s="1215">
        <f t="shared" si="7"/>
        <v>1823882.8797913988</v>
      </c>
      <c r="E153" s="1146">
        <f t="shared" si="8"/>
        <v>-1622869419.3222935</v>
      </c>
      <c r="F153" s="1213">
        <v>30</v>
      </c>
      <c r="G153" s="1206">
        <f t="shared" si="9"/>
        <v>31</v>
      </c>
      <c r="H153" s="1212">
        <f>G153/G142</f>
        <v>8.4931506849315067E-2</v>
      </c>
      <c r="I153" s="237">
        <f t="shared" si="5"/>
        <v>154905.12129735167</v>
      </c>
      <c r="J153" s="232">
        <f t="shared" si="10"/>
        <v>-1632853304.2368784</v>
      </c>
      <c r="K153" s="14"/>
    </row>
    <row r="154" spans="1:11" s="1048" customFormat="1">
      <c r="A154" s="109">
        <f t="shared" si="6"/>
        <v>817</v>
      </c>
      <c r="B154" s="553"/>
      <c r="C154" s="1210" t="s">
        <v>180</v>
      </c>
      <c r="D154" s="1215">
        <f t="shared" si="7"/>
        <v>1823882.8797913988</v>
      </c>
      <c r="E154" s="1146">
        <f t="shared" si="8"/>
        <v>-1621045536.442502</v>
      </c>
      <c r="F154" s="1213">
        <v>31</v>
      </c>
      <c r="G154" s="1206">
        <f t="shared" si="9"/>
        <v>0</v>
      </c>
      <c r="H154" s="1212">
        <f>G154/G142</f>
        <v>0</v>
      </c>
      <c r="I154" s="237">
        <f t="shared" si="5"/>
        <v>0</v>
      </c>
      <c r="J154" s="232">
        <f t="shared" si="10"/>
        <v>-1632853304.2368784</v>
      </c>
      <c r="K154" s="14"/>
    </row>
    <row r="155" spans="1:11" s="1048" customFormat="1">
      <c r="A155" s="109">
        <f t="shared" si="6"/>
        <v>818</v>
      </c>
      <c r="B155" s="553"/>
      <c r="C155" s="1210" t="s">
        <v>2484</v>
      </c>
      <c r="D155" s="1215"/>
      <c r="E155" s="1146">
        <f>D14</f>
        <v>-1621045536.4425032</v>
      </c>
      <c r="F155" s="618"/>
      <c r="G155" s="618"/>
      <c r="H155" s="618"/>
      <c r="I155" s="480"/>
      <c r="J155" s="1183"/>
      <c r="K155" s="14"/>
    </row>
    <row r="156" spans="1:11" s="1048" customFormat="1">
      <c r="A156" s="1254"/>
      <c r="B156" s="1255"/>
      <c r="C156" s="1256"/>
      <c r="D156" s="1257"/>
      <c r="E156" s="1257"/>
      <c r="F156" s="1258"/>
      <c r="G156" s="1258"/>
      <c r="H156" s="1258"/>
      <c r="I156" s="1259"/>
      <c r="J156" s="1260"/>
    </row>
    <row r="157" spans="1:11">
      <c r="B157"/>
      <c r="C157" s="239" t="s">
        <v>1882</v>
      </c>
      <c r="D157" s="239"/>
      <c r="E157" s="239"/>
      <c r="F157" s="239"/>
      <c r="G157" s="239"/>
      <c r="J157"/>
    </row>
    <row r="158" spans="1:11">
      <c r="B158"/>
      <c r="C158" s="239" t="s">
        <v>1883</v>
      </c>
      <c r="D158" s="239"/>
      <c r="E158" s="239"/>
      <c r="F158" s="239"/>
      <c r="G158" s="239"/>
      <c r="J158"/>
    </row>
    <row r="159" spans="1:11">
      <c r="B159"/>
      <c r="C159" s="239"/>
      <c r="D159" s="239"/>
      <c r="E159" s="239"/>
      <c r="F159" s="239"/>
      <c r="G159" s="239"/>
      <c r="J159"/>
    </row>
    <row r="160" spans="1:11">
      <c r="B160"/>
      <c r="C160" s="239" t="s">
        <v>1884</v>
      </c>
      <c r="D160" s="239"/>
      <c r="E160" s="239"/>
      <c r="F160" s="239"/>
      <c r="G160" s="239"/>
      <c r="J160"/>
    </row>
    <row r="161" spans="2:11">
      <c r="B161"/>
      <c r="C161" s="239" t="s">
        <v>1885</v>
      </c>
      <c r="D161" s="239"/>
      <c r="E161" s="239"/>
      <c r="F161" s="239"/>
      <c r="G161" s="239"/>
      <c r="J161"/>
    </row>
    <row r="162" spans="2:11">
      <c r="B162"/>
      <c r="C162" s="239" t="s">
        <v>1886</v>
      </c>
      <c r="D162" s="239"/>
      <c r="E162" s="239"/>
      <c r="F162" s="239"/>
      <c r="G162" s="239"/>
      <c r="J162"/>
    </row>
    <row r="163" spans="2:11" s="476" customFormat="1">
      <c r="C163" s="478"/>
      <c r="D163" s="478"/>
      <c r="E163" s="109" t="s">
        <v>169</v>
      </c>
      <c r="F163" s="478"/>
      <c r="G163" s="930" t="s">
        <v>63</v>
      </c>
      <c r="H163" s="230"/>
      <c r="I163" s="230"/>
      <c r="K163" s="478"/>
    </row>
    <row r="164" spans="2:11" s="476" customFormat="1">
      <c r="C164" s="478"/>
      <c r="D164" s="478"/>
      <c r="E164" s="123" t="s">
        <v>170</v>
      </c>
      <c r="F164" s="478"/>
      <c r="G164" s="123" t="s">
        <v>171</v>
      </c>
      <c r="H164" s="230"/>
      <c r="I164" s="230"/>
      <c r="K164" s="478"/>
    </row>
    <row r="165" spans="2:11" s="476" customFormat="1" ht="12.5">
      <c r="C165" s="944" t="s">
        <v>1887</v>
      </c>
      <c r="D165" s="478"/>
      <c r="E165" s="478" t="s">
        <v>284</v>
      </c>
      <c r="F165" s="478"/>
      <c r="G165" s="1073">
        <v>801074308</v>
      </c>
      <c r="H165" s="230"/>
      <c r="I165" s="1228"/>
      <c r="K165" s="478"/>
    </row>
    <row r="166" spans="2:11" s="476" customFormat="1" ht="12.5">
      <c r="C166" s="475" t="s">
        <v>1888</v>
      </c>
      <c r="D166" s="478"/>
      <c r="E166" s="478" t="s">
        <v>1889</v>
      </c>
      <c r="F166" s="478"/>
      <c r="G166" s="509">
        <v>650570</v>
      </c>
      <c r="H166" s="230"/>
      <c r="I166" s="1228"/>
      <c r="K166" s="478"/>
    </row>
    <row r="167" spans="2:11" s="476" customFormat="1" ht="12.5">
      <c r="C167" s="475" t="s">
        <v>1890</v>
      </c>
      <c r="D167" s="478"/>
      <c r="E167" s="478" t="s">
        <v>1891</v>
      </c>
      <c r="F167" s="478"/>
      <c r="G167" s="115">
        <v>2165077</v>
      </c>
      <c r="H167" s="230"/>
      <c r="I167" s="1228"/>
      <c r="K167" s="478"/>
    </row>
    <row r="168" spans="2:11" s="476" customFormat="1" ht="12.5">
      <c r="C168" s="944" t="s">
        <v>1892</v>
      </c>
      <c r="D168" s="478"/>
      <c r="E168" s="478" t="s">
        <v>1893</v>
      </c>
      <c r="F168" s="478"/>
      <c r="G168" s="490">
        <f>SUM(G165:G167)</f>
        <v>803889955</v>
      </c>
      <c r="H168" s="230"/>
      <c r="I168" s="230"/>
      <c r="K168" s="478"/>
    </row>
    <row r="169" spans="2:11" s="476" customFormat="1" ht="12.5">
      <c r="C169" s="475" t="s">
        <v>1894</v>
      </c>
      <c r="D169" s="478"/>
      <c r="E169" s="593" t="s">
        <v>1895</v>
      </c>
      <c r="F169" s="478"/>
      <c r="G169" s="401">
        <f>(G166+G167)/G168</f>
        <v>3.5025279050787494E-3</v>
      </c>
      <c r="H169" s="230"/>
      <c r="I169" s="230"/>
      <c r="K169" s="478"/>
    </row>
    <row r="170" spans="2:11" s="476" customFormat="1" ht="12.5">
      <c r="C170" s="924" t="s">
        <v>1896</v>
      </c>
      <c r="D170" s="239"/>
      <c r="E170" s="239"/>
      <c r="F170" s="239"/>
      <c r="G170" s="239"/>
      <c r="H170" s="230"/>
      <c r="I170" s="230"/>
      <c r="K170" s="478"/>
    </row>
    <row r="171" spans="2:11" s="476" customFormat="1">
      <c r="C171" s="478"/>
      <c r="D171" s="478"/>
      <c r="E171" s="109" t="s">
        <v>169</v>
      </c>
      <c r="F171" s="478"/>
      <c r="G171" s="930" t="s">
        <v>63</v>
      </c>
      <c r="H171" s="230"/>
      <c r="I171" s="230"/>
      <c r="K171" s="478"/>
    </row>
    <row r="172" spans="2:11" s="476" customFormat="1">
      <c r="C172" s="478"/>
      <c r="D172" s="478"/>
      <c r="E172" s="123" t="s">
        <v>170</v>
      </c>
      <c r="F172" s="478"/>
      <c r="G172" s="123" t="s">
        <v>171</v>
      </c>
      <c r="H172" s="230"/>
      <c r="I172" s="230"/>
      <c r="K172" s="478"/>
    </row>
    <row r="173" spans="2:11" s="476" customFormat="1" ht="12.5">
      <c r="C173" s="475" t="s">
        <v>1897</v>
      </c>
      <c r="D173" s="478"/>
      <c r="E173" s="478" t="s">
        <v>34</v>
      </c>
      <c r="F173" s="478"/>
      <c r="G173" s="1073">
        <v>51320942976</v>
      </c>
      <c r="H173" s="230"/>
      <c r="I173" s="1228"/>
      <c r="K173" s="478"/>
    </row>
    <row r="174" spans="2:11" s="476" customFormat="1" ht="12.5">
      <c r="C174" s="475" t="s">
        <v>1898</v>
      </c>
      <c r="D174" s="478"/>
      <c r="E174" s="478" t="s">
        <v>1899</v>
      </c>
      <c r="F174" s="478"/>
      <c r="G174" s="509">
        <v>6385691</v>
      </c>
      <c r="H174" s="230"/>
      <c r="I174" s="230"/>
      <c r="K174" s="478"/>
    </row>
    <row r="175" spans="2:11" s="476" customFormat="1" ht="12.5">
      <c r="C175" s="475" t="s">
        <v>1900</v>
      </c>
      <c r="D175" s="478"/>
      <c r="E175" s="478" t="s">
        <v>1901</v>
      </c>
      <c r="F175" s="478"/>
      <c r="G175" s="509">
        <v>39692393</v>
      </c>
      <c r="H175" s="230"/>
      <c r="I175" s="1228"/>
      <c r="K175" s="478"/>
    </row>
    <row r="176" spans="2:11" s="476" customFormat="1" ht="12.5">
      <c r="C176" s="475" t="s">
        <v>1902</v>
      </c>
      <c r="D176" s="478"/>
      <c r="E176" s="478" t="s">
        <v>1903</v>
      </c>
      <c r="F176" s="478"/>
      <c r="G176" s="490">
        <f>SUM(G173:G175)</f>
        <v>51367021060</v>
      </c>
      <c r="H176" s="239"/>
      <c r="I176" s="239"/>
      <c r="J176" s="478"/>
      <c r="K176" s="478"/>
    </row>
    <row r="177" spans="2:11" s="476" customFormat="1" ht="12.5">
      <c r="C177" s="475" t="s">
        <v>1904</v>
      </c>
      <c r="D177" s="478"/>
      <c r="E177" s="593" t="s">
        <v>1905</v>
      </c>
      <c r="F177" s="478"/>
      <c r="G177" s="401">
        <f>(G174+G175)/G176</f>
        <v>8.9703632893520962E-4</v>
      </c>
      <c r="H177" s="239"/>
      <c r="I177" s="239"/>
      <c r="J177" s="478"/>
      <c r="K177" s="478"/>
    </row>
    <row r="178" spans="2:11" s="476" customFormat="1" ht="12.5">
      <c r="C178" s="239" t="s">
        <v>2446</v>
      </c>
      <c r="D178" s="239"/>
      <c r="E178" s="239"/>
      <c r="F178" s="239"/>
      <c r="G178" s="239"/>
      <c r="H178" s="239"/>
      <c r="I178" s="239"/>
      <c r="J178" s="478"/>
      <c r="K178" s="478"/>
    </row>
    <row r="179" spans="2:11" s="476" customFormat="1" ht="12.5">
      <c r="B179" s="230"/>
      <c r="C179" s="230"/>
      <c r="D179" s="230"/>
      <c r="E179" s="230"/>
      <c r="F179" s="230"/>
      <c r="G179" s="230"/>
      <c r="H179" s="230"/>
      <c r="I179" s="230"/>
      <c r="J179" s="230"/>
      <c r="K179" s="478"/>
    </row>
    <row r="180" spans="2:11" s="476" customFormat="1">
      <c r="B180" s="230"/>
      <c r="C180" s="910" t="s">
        <v>230</v>
      </c>
      <c r="D180" s="230"/>
      <c r="E180" s="230"/>
      <c r="F180" s="230"/>
      <c r="G180" s="230"/>
      <c r="H180" s="230"/>
      <c r="I180" s="230"/>
      <c r="J180" s="230"/>
      <c r="K180" s="478"/>
    </row>
    <row r="181" spans="2:11" s="476" customFormat="1" ht="12.5">
      <c r="B181" s="230"/>
      <c r="C181" s="478" t="s">
        <v>2426</v>
      </c>
      <c r="D181" s="230"/>
      <c r="E181" s="230"/>
      <c r="F181" s="230"/>
      <c r="G181" s="230"/>
      <c r="H181" s="230"/>
      <c r="I181" s="230"/>
      <c r="J181" s="230"/>
      <c r="K181" s="478"/>
    </row>
    <row r="182" spans="2:11" s="476" customFormat="1" ht="12.5">
      <c r="B182" s="230"/>
      <c r="C182" s="478" t="s">
        <v>2427</v>
      </c>
      <c r="D182" s="230"/>
      <c r="E182" s="230"/>
      <c r="F182" s="230"/>
      <c r="G182" s="230"/>
      <c r="H182" s="230"/>
      <c r="I182" s="230"/>
      <c r="J182" s="230"/>
      <c r="K182" s="478"/>
    </row>
    <row r="183" spans="2:11" s="1048" customFormat="1">
      <c r="B183" s="533"/>
      <c r="C183" s="478" t="s">
        <v>2502</v>
      </c>
      <c r="D183" s="533"/>
      <c r="E183" s="533"/>
      <c r="F183" s="533"/>
      <c r="G183" s="533"/>
      <c r="H183" s="533"/>
      <c r="I183" s="533"/>
      <c r="J183" s="533"/>
    </row>
    <row r="184" spans="2:11" s="1048" customFormat="1">
      <c r="B184" s="533"/>
      <c r="C184" s="480" t="s">
        <v>2490</v>
      </c>
      <c r="D184" s="533"/>
      <c r="E184" s="533"/>
      <c r="F184" s="533"/>
      <c r="G184" s="533"/>
      <c r="H184" s="533"/>
      <c r="I184" s="533"/>
      <c r="J184" s="533"/>
    </row>
    <row r="185" spans="2:11">
      <c r="C185" s="1265" t="s">
        <v>2487</v>
      </c>
    </row>
    <row r="186" spans="2:11">
      <c r="C186" s="917" t="s">
        <v>2488</v>
      </c>
    </row>
    <row r="187" spans="2:11">
      <c r="C187" s="475" t="s">
        <v>2489</v>
      </c>
    </row>
  </sheetData>
  <protectedRanges>
    <protectedRange password="F1C4" sqref="D20:E23 E15:E19 D14:D15 D17:D18 I52 B7:C12 F20 I115 D24 B14:C14 B13 B16:C23 B15 B25:F30 B24" name="AAReport1_23_1_1_2"/>
    <protectedRange password="F1C4" sqref="D19" name="AAReport1_23_1_1_1_1_1"/>
    <protectedRange password="F1C4" sqref="F32:F33 F45 J32:J35" name="AAReport1_23_1_1_2_1"/>
    <protectedRange password="F1C4" sqref="C24" name="AAReport1_23_1_1_2_1_1"/>
    <protectedRange password="F1C4" sqref="E24" name="AAReport1_23_1_1_2_3_2"/>
  </protectedRanges>
  <phoneticPr fontId="23" type="noConversion"/>
  <conditionalFormatting sqref="B109 B123:B124 D123:D124 D109">
    <cfRule type="expression" dxfId="18" priority="16" stopIfTrue="1">
      <formula>Formulas</formula>
    </cfRule>
  </conditionalFormatting>
  <conditionalFormatting sqref="D115">
    <cfRule type="expression" dxfId="17" priority="17" stopIfTrue="1">
      <formula>Formulas</formula>
    </cfRule>
  </conditionalFormatting>
  <conditionalFormatting sqref="C115 C109 C123:C124">
    <cfRule type="expression" dxfId="16" priority="15" stopIfTrue="1">
      <formula>#REF!&lt;&gt;""</formula>
    </cfRule>
  </conditionalFormatting>
  <conditionalFormatting sqref="D101:D108">
    <cfRule type="expression" dxfId="15" priority="6" stopIfTrue="1">
      <formula>Formulas</formula>
    </cfRule>
  </conditionalFormatting>
  <conditionalFormatting sqref="C101:C108">
    <cfRule type="expression" dxfId="14" priority="5" stopIfTrue="1">
      <formula>#REF!&lt;&gt;""</formula>
    </cfRule>
  </conditionalFormatting>
  <conditionalFormatting sqref="D121">
    <cfRule type="expression" dxfId="13" priority="4" stopIfTrue="1">
      <formula>Formulas</formula>
    </cfRule>
  </conditionalFormatting>
  <conditionalFormatting sqref="C121">
    <cfRule type="expression" dxfId="12" priority="3" stopIfTrue="1">
      <formula>#REF!&lt;&gt;""</formula>
    </cfRule>
  </conditionalFormatting>
  <conditionalFormatting sqref="D122">
    <cfRule type="expression" dxfId="11" priority="2" stopIfTrue="1">
      <formula>Formulas</formula>
    </cfRule>
  </conditionalFormatting>
  <conditionalFormatting sqref="C122">
    <cfRule type="expression" dxfId="10" priority="1" stopIfTrue="1">
      <formula>#REF!&lt;&gt;""</formula>
    </cfRule>
  </conditionalFormatting>
  <pageMargins left="0.75" right="0.75" top="1" bottom="1" header="0.5" footer="0.5"/>
  <pageSetup scale="60" orientation="landscape" cellComments="asDisplayed" r:id="rId1"/>
  <headerFooter alignWithMargins="0">
    <oddHeader>&amp;CSchedule 9
ADIT
&amp;RTO2021 Annual Update
Attachment 5
TO2018 True Up TRR</oddHeader>
    <oddFooter>&amp;R&amp;A</oddFooter>
  </headerFooter>
  <rowBreaks count="5" manualBreakCount="5">
    <brk id="24" max="16383" man="1"/>
    <brk id="55" max="16383" man="1"/>
    <brk id="93" max="9" man="1"/>
    <brk id="124" max="16383" man="1"/>
    <brk id="15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44"/>
  <sheetViews>
    <sheetView zoomScaleNormal="100" zoomScalePageLayoutView="70" workbookViewId="0"/>
  </sheetViews>
  <sheetFormatPr defaultRowHeight="12.5"/>
  <cols>
    <col min="1" max="1" width="4.54296875" style="14"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7.453125" customWidth="1"/>
    <col min="10" max="10" width="15.453125" customWidth="1"/>
    <col min="11" max="11" width="17.453125" customWidth="1"/>
    <col min="12" max="12" width="14.54296875" style="14" bestFit="1" customWidth="1"/>
    <col min="13" max="13" width="13.453125" bestFit="1" customWidth="1"/>
  </cols>
  <sheetData>
    <row r="1" spans="1:12" ht="13">
      <c r="A1" s="44" t="s">
        <v>536</v>
      </c>
      <c r="K1" s="1"/>
    </row>
    <row r="2" spans="1:12" ht="13">
      <c r="A2" s="44"/>
      <c r="K2" s="1"/>
    </row>
    <row r="3" spans="1:12" ht="13">
      <c r="A3" s="44"/>
      <c r="B3" s="476" t="s">
        <v>953</v>
      </c>
      <c r="K3" s="1"/>
    </row>
    <row r="4" spans="1:12" ht="13">
      <c r="B4" s="476" t="s">
        <v>540</v>
      </c>
      <c r="K4" s="1"/>
      <c r="L4" s="478"/>
    </row>
    <row r="5" spans="1:12" ht="13">
      <c r="B5" s="476"/>
      <c r="K5" s="1"/>
    </row>
    <row r="6" spans="1:12" ht="13">
      <c r="A6" s="478"/>
      <c r="B6" s="1" t="s">
        <v>1225</v>
      </c>
      <c r="K6" s="1"/>
    </row>
    <row r="7" spans="1:12" ht="13">
      <c r="A7" s="478"/>
      <c r="B7" s="1"/>
      <c r="D7" s="84" t="s">
        <v>359</v>
      </c>
      <c r="E7" s="84" t="s">
        <v>343</v>
      </c>
      <c r="F7" s="84" t="s">
        <v>344</v>
      </c>
      <c r="G7" s="84" t="s">
        <v>345</v>
      </c>
      <c r="H7" s="84" t="s">
        <v>346</v>
      </c>
      <c r="I7" s="84" t="s">
        <v>347</v>
      </c>
      <c r="J7" s="358"/>
      <c r="K7" s="1"/>
      <c r="L7" s="358"/>
    </row>
    <row r="8" spans="1:12">
      <c r="D8" s="477" t="s">
        <v>985</v>
      </c>
      <c r="J8" s="14"/>
      <c r="K8" s="14"/>
    </row>
    <row r="9" spans="1:12">
      <c r="D9" s="497" t="s">
        <v>543</v>
      </c>
      <c r="J9" s="14"/>
      <c r="K9" s="14"/>
    </row>
    <row r="10" spans="1:12" ht="13">
      <c r="B10" s="572"/>
      <c r="J10" s="14"/>
      <c r="K10" s="14"/>
    </row>
    <row r="11" spans="1:12" ht="13">
      <c r="B11" s="572"/>
      <c r="D11" s="572" t="s">
        <v>19</v>
      </c>
      <c r="F11" s="572" t="s">
        <v>341</v>
      </c>
      <c r="G11" s="359" t="s">
        <v>992</v>
      </c>
      <c r="H11" s="359" t="s">
        <v>993</v>
      </c>
      <c r="I11" s="572"/>
      <c r="J11" s="109"/>
      <c r="K11" s="476"/>
    </row>
    <row r="12" spans="1:12" ht="13">
      <c r="A12" s="910" t="s">
        <v>330</v>
      </c>
      <c r="B12" s="630" t="s">
        <v>192</v>
      </c>
      <c r="C12" s="630" t="s">
        <v>193</v>
      </c>
      <c r="D12" s="3" t="s">
        <v>538</v>
      </c>
      <c r="E12" s="3" t="s">
        <v>223</v>
      </c>
      <c r="F12" s="3" t="s">
        <v>342</v>
      </c>
      <c r="G12" s="360" t="s">
        <v>991</v>
      </c>
      <c r="H12" s="360" t="s">
        <v>994</v>
      </c>
      <c r="I12" s="3" t="s">
        <v>541</v>
      </c>
      <c r="J12" s="123"/>
      <c r="K12" s="476"/>
    </row>
    <row r="13" spans="1:12" ht="13">
      <c r="A13" s="109">
        <v>1</v>
      </c>
      <c r="B13" s="631" t="s">
        <v>180</v>
      </c>
      <c r="C13" s="632">
        <v>2018</v>
      </c>
      <c r="D13" s="63">
        <f>SUM(E13:I13)+SUM(D33:H33)</f>
        <v>442829075.92005408</v>
      </c>
      <c r="E13" s="526">
        <v>156282.26999999999</v>
      </c>
      <c r="F13" s="1072">
        <v>0</v>
      </c>
      <c r="G13" s="1072">
        <v>5220451.6500000004</v>
      </c>
      <c r="H13" s="1072">
        <v>228226372.41</v>
      </c>
      <c r="I13" s="1072">
        <v>0</v>
      </c>
      <c r="J13" s="633"/>
    </row>
    <row r="14" spans="1:12" ht="13">
      <c r="A14" s="109">
        <f>A13+1</f>
        <v>2</v>
      </c>
      <c r="B14" s="631" t="s">
        <v>181</v>
      </c>
      <c r="C14" s="632">
        <v>2019</v>
      </c>
      <c r="D14" s="63">
        <f>SUM(E14:I14)+SUM(D34:H34)</f>
        <v>472722393.05005413</v>
      </c>
      <c r="E14" s="526">
        <v>156282.26999999999</v>
      </c>
      <c r="F14" s="1072">
        <v>0</v>
      </c>
      <c r="G14" s="1072">
        <v>5266927.67</v>
      </c>
      <c r="H14" s="1072">
        <v>253402514.80000001</v>
      </c>
      <c r="I14" s="1072">
        <v>0</v>
      </c>
      <c r="J14" s="633"/>
    </row>
    <row r="15" spans="1:12" ht="13">
      <c r="A15" s="109">
        <f t="shared" ref="A15:A26" si="0">A14+1</f>
        <v>3</v>
      </c>
      <c r="B15" s="634" t="s">
        <v>182</v>
      </c>
      <c r="C15" s="632">
        <v>2019</v>
      </c>
      <c r="D15" s="63">
        <f t="shared" ref="D15:D25" si="1">SUM(E15:I15)+SUM(D35:H35)</f>
        <v>487765460.01005411</v>
      </c>
      <c r="E15" s="526">
        <v>156282.26999999999</v>
      </c>
      <c r="F15" s="1072">
        <v>0</v>
      </c>
      <c r="G15" s="1072">
        <v>5319581.3099999996</v>
      </c>
      <c r="H15" s="1072">
        <v>266659186.94999999</v>
      </c>
      <c r="I15" s="1072">
        <v>0</v>
      </c>
      <c r="J15" s="633"/>
    </row>
    <row r="16" spans="1:12" ht="13">
      <c r="A16" s="109">
        <f t="shared" si="0"/>
        <v>4</v>
      </c>
      <c r="B16" s="634" t="s">
        <v>195</v>
      </c>
      <c r="C16" s="632">
        <v>2019</v>
      </c>
      <c r="D16" s="63">
        <f t="shared" si="1"/>
        <v>511877474.28005421</v>
      </c>
      <c r="E16" s="526">
        <v>156282.26999999999</v>
      </c>
      <c r="F16" s="1072">
        <v>0</v>
      </c>
      <c r="G16" s="1072">
        <v>5345711.95</v>
      </c>
      <c r="H16" s="1072">
        <v>288804117.97000003</v>
      </c>
      <c r="I16" s="1072">
        <v>0</v>
      </c>
      <c r="J16" s="633"/>
    </row>
    <row r="17" spans="1:11" ht="13">
      <c r="A17" s="109">
        <f t="shared" si="0"/>
        <v>5</v>
      </c>
      <c r="B17" s="631" t="s">
        <v>183</v>
      </c>
      <c r="C17" s="632">
        <v>2019</v>
      </c>
      <c r="D17" s="63">
        <f t="shared" si="1"/>
        <v>552987154.63045406</v>
      </c>
      <c r="E17" s="526">
        <v>156915.20000000001</v>
      </c>
      <c r="F17" s="1072">
        <v>0</v>
      </c>
      <c r="G17" s="1072">
        <v>5406473.5</v>
      </c>
      <c r="H17" s="1072">
        <v>317592590.81</v>
      </c>
      <c r="I17" s="1072">
        <v>0</v>
      </c>
      <c r="J17" s="633"/>
    </row>
    <row r="18" spans="1:11" ht="13">
      <c r="A18" s="109">
        <f t="shared" si="0"/>
        <v>6</v>
      </c>
      <c r="B18" s="634" t="s">
        <v>184</v>
      </c>
      <c r="C18" s="632">
        <v>2019</v>
      </c>
      <c r="D18" s="63">
        <f t="shared" si="1"/>
        <v>586610506.67005408</v>
      </c>
      <c r="E18" s="526">
        <v>156915.20000000001</v>
      </c>
      <c r="F18" s="1072">
        <v>0</v>
      </c>
      <c r="G18" s="1072">
        <v>5496940.6399999997</v>
      </c>
      <c r="H18" s="1072">
        <v>340944316.75999999</v>
      </c>
      <c r="I18" s="1072">
        <v>0</v>
      </c>
      <c r="J18" s="633"/>
    </row>
    <row r="19" spans="1:11" ht="13">
      <c r="A19" s="109">
        <f t="shared" si="0"/>
        <v>7</v>
      </c>
      <c r="B19" s="634" t="s">
        <v>185</v>
      </c>
      <c r="C19" s="632">
        <v>2019</v>
      </c>
      <c r="D19" s="63">
        <f t="shared" si="1"/>
        <v>621571695.64005423</v>
      </c>
      <c r="E19" s="526">
        <v>156915.20000000001</v>
      </c>
      <c r="F19" s="1072">
        <v>0</v>
      </c>
      <c r="G19" s="1072">
        <v>5505966.71</v>
      </c>
      <c r="H19" s="1072">
        <v>363648418.18000001</v>
      </c>
      <c r="I19" s="1072">
        <v>0</v>
      </c>
      <c r="J19" s="633"/>
    </row>
    <row r="20" spans="1:11" ht="13">
      <c r="A20" s="109">
        <f t="shared" si="0"/>
        <v>8</v>
      </c>
      <c r="B20" s="631" t="s">
        <v>186</v>
      </c>
      <c r="C20" s="632">
        <v>2019</v>
      </c>
      <c r="D20" s="63">
        <f t="shared" si="1"/>
        <v>644382967.01005423</v>
      </c>
      <c r="E20" s="526">
        <v>156915.20000000001</v>
      </c>
      <c r="F20" s="1072">
        <v>0</v>
      </c>
      <c r="G20" s="1072">
        <v>5545240.5199999996</v>
      </c>
      <c r="H20" s="1072">
        <v>382091968.81</v>
      </c>
      <c r="I20" s="1072">
        <v>0</v>
      </c>
      <c r="J20" s="633"/>
    </row>
    <row r="21" spans="1:11" ht="13">
      <c r="A21" s="109">
        <f t="shared" si="0"/>
        <v>9</v>
      </c>
      <c r="B21" s="634" t="s">
        <v>187</v>
      </c>
      <c r="C21" s="632">
        <v>2019</v>
      </c>
      <c r="D21" s="63">
        <f t="shared" si="1"/>
        <v>667018299.47786617</v>
      </c>
      <c r="E21" s="526">
        <v>156915.20000000001</v>
      </c>
      <c r="F21" s="1072">
        <v>0</v>
      </c>
      <c r="G21" s="1072">
        <v>5551731.0199999996</v>
      </c>
      <c r="H21" s="1072">
        <v>399965932.72000003</v>
      </c>
      <c r="I21" s="1072">
        <v>0</v>
      </c>
      <c r="J21" s="633"/>
    </row>
    <row r="22" spans="1:11" ht="13">
      <c r="A22" s="109">
        <f t="shared" si="0"/>
        <v>10</v>
      </c>
      <c r="B22" s="634" t="s">
        <v>188</v>
      </c>
      <c r="C22" s="632">
        <v>2019</v>
      </c>
      <c r="D22" s="63">
        <f t="shared" si="1"/>
        <v>705005373.29786611</v>
      </c>
      <c r="E22" s="526">
        <v>156915.20000000001</v>
      </c>
      <c r="F22" s="1072">
        <v>0</v>
      </c>
      <c r="G22" s="1072">
        <v>5551681.7000000002</v>
      </c>
      <c r="H22" s="1072">
        <v>420281394.63</v>
      </c>
      <c r="I22" s="1072">
        <v>0</v>
      </c>
      <c r="J22" s="633"/>
    </row>
    <row r="23" spans="1:11" ht="13">
      <c r="A23" s="109">
        <f t="shared" si="0"/>
        <v>11</v>
      </c>
      <c r="B23" s="631" t="s">
        <v>189</v>
      </c>
      <c r="C23" s="632">
        <v>2019</v>
      </c>
      <c r="D23" s="63">
        <f t="shared" si="1"/>
        <v>734731437.8278662</v>
      </c>
      <c r="E23" s="526">
        <v>156915.20000000001</v>
      </c>
      <c r="F23" s="1072">
        <v>0</v>
      </c>
      <c r="G23" s="1072">
        <v>5553946.6500000004</v>
      </c>
      <c r="H23" s="1072">
        <v>441271639.44</v>
      </c>
      <c r="I23" s="1072">
        <v>0</v>
      </c>
      <c r="J23" s="633"/>
    </row>
    <row r="24" spans="1:11" ht="13">
      <c r="A24" s="109">
        <f t="shared" si="0"/>
        <v>12</v>
      </c>
      <c r="B24" s="631" t="s">
        <v>190</v>
      </c>
      <c r="C24" s="632">
        <v>2019</v>
      </c>
      <c r="D24" s="63">
        <f t="shared" si="1"/>
        <v>753142415.20786619</v>
      </c>
      <c r="E24" s="526">
        <v>156915.20000000001</v>
      </c>
      <c r="F24" s="1072">
        <v>0</v>
      </c>
      <c r="G24" s="1072">
        <v>5555762.8799999999</v>
      </c>
      <c r="H24" s="1072">
        <v>451949884.19</v>
      </c>
      <c r="I24" s="1072">
        <v>0</v>
      </c>
      <c r="J24" s="633"/>
    </row>
    <row r="25" spans="1:11" ht="13">
      <c r="A25" s="109">
        <f t="shared" si="0"/>
        <v>13</v>
      </c>
      <c r="B25" s="631" t="s">
        <v>180</v>
      </c>
      <c r="C25" s="632">
        <v>2019</v>
      </c>
      <c r="D25" s="110">
        <f t="shared" si="1"/>
        <v>647763205.16651607</v>
      </c>
      <c r="E25" s="407">
        <v>157682.99</v>
      </c>
      <c r="F25" s="115">
        <v>0</v>
      </c>
      <c r="G25" s="115">
        <v>5584199.04</v>
      </c>
      <c r="H25" s="115">
        <v>468121962.68000001</v>
      </c>
      <c r="I25" s="115">
        <v>0</v>
      </c>
      <c r="J25" s="633"/>
    </row>
    <row r="26" spans="1:11" ht="13">
      <c r="A26" s="109">
        <f t="shared" si="0"/>
        <v>14</v>
      </c>
      <c r="B26" s="631"/>
      <c r="C26" s="635" t="s">
        <v>539</v>
      </c>
      <c r="D26" s="524">
        <f t="shared" ref="D26:I26" si="2">SUM(D13:D25)/13</f>
        <v>602185189.09144735</v>
      </c>
      <c r="E26" s="524">
        <f>SUM(E13:E25)/13</f>
        <v>156779.51307692306</v>
      </c>
      <c r="F26" s="524">
        <f t="shared" si="2"/>
        <v>0</v>
      </c>
      <c r="G26" s="524">
        <f t="shared" si="2"/>
        <v>5454201.1723076934</v>
      </c>
      <c r="H26" s="524">
        <f t="shared" si="2"/>
        <v>355612330.7961539</v>
      </c>
      <c r="I26" s="524">
        <f t="shared" si="2"/>
        <v>0</v>
      </c>
      <c r="J26" s="633"/>
      <c r="K26" s="633"/>
    </row>
    <row r="27" spans="1:11" ht="13">
      <c r="A27" s="109"/>
      <c r="B27" s="631"/>
      <c r="C27" s="635"/>
      <c r="D27" s="524"/>
      <c r="E27" s="524"/>
      <c r="F27" s="524"/>
      <c r="G27" s="524"/>
      <c r="H27" s="524"/>
      <c r="I27" s="633"/>
      <c r="J27" s="480"/>
      <c r="K27" s="633"/>
    </row>
    <row r="28" spans="1:11" ht="13">
      <c r="A28" s="109"/>
      <c r="B28" s="631"/>
      <c r="C28" s="635"/>
      <c r="D28" s="84" t="s">
        <v>348</v>
      </c>
      <c r="E28" s="84" t="s">
        <v>537</v>
      </c>
      <c r="F28" s="84" t="s">
        <v>954</v>
      </c>
      <c r="G28" s="84" t="s">
        <v>967</v>
      </c>
      <c r="H28" s="84" t="s">
        <v>970</v>
      </c>
      <c r="I28" s="84" t="s">
        <v>988</v>
      </c>
      <c r="J28" s="480"/>
      <c r="K28" s="633"/>
    </row>
    <row r="29" spans="1:11" ht="13">
      <c r="A29" s="109"/>
      <c r="B29" s="631"/>
      <c r="C29" s="635"/>
      <c r="E29" s="359" t="s">
        <v>989</v>
      </c>
      <c r="F29" s="359"/>
      <c r="G29" s="359"/>
      <c r="H29" s="524"/>
      <c r="I29" s="633"/>
      <c r="J29" s="480"/>
      <c r="K29" s="633"/>
    </row>
    <row r="30" spans="1:11" ht="13">
      <c r="B30" s="572"/>
      <c r="D30" s="572" t="s">
        <v>986</v>
      </c>
      <c r="E30" s="572" t="s">
        <v>990</v>
      </c>
      <c r="F30" s="359"/>
      <c r="G30" s="359"/>
      <c r="H30" s="524"/>
      <c r="I30" s="633"/>
      <c r="J30" s="480"/>
      <c r="K30" s="633"/>
    </row>
    <row r="31" spans="1:11" ht="13">
      <c r="B31" s="572"/>
      <c r="D31" s="572" t="s">
        <v>423</v>
      </c>
      <c r="E31" s="572" t="s">
        <v>423</v>
      </c>
      <c r="F31" s="526"/>
      <c r="G31" s="1224"/>
      <c r="H31" s="1223" t="s">
        <v>2741</v>
      </c>
      <c r="I31" s="1224"/>
      <c r="J31" s="633"/>
      <c r="K31" s="633"/>
    </row>
    <row r="32" spans="1:11" ht="13">
      <c r="A32" s="910" t="s">
        <v>330</v>
      </c>
      <c r="B32" s="630" t="s">
        <v>192</v>
      </c>
      <c r="C32" s="630" t="s">
        <v>193</v>
      </c>
      <c r="D32" s="3" t="s">
        <v>987</v>
      </c>
      <c r="E32" s="3" t="s">
        <v>987</v>
      </c>
      <c r="F32" s="361" t="s">
        <v>2450</v>
      </c>
      <c r="G32" s="361" t="s">
        <v>2451</v>
      </c>
      <c r="H32" s="361" t="s">
        <v>2742</v>
      </c>
      <c r="I32" s="361"/>
      <c r="J32" s="633"/>
      <c r="K32" s="633"/>
    </row>
    <row r="33" spans="1:11" ht="13">
      <c r="A33" s="109">
        <f>+A26+1</f>
        <v>15</v>
      </c>
      <c r="B33" s="631" t="s">
        <v>180</v>
      </c>
      <c r="C33" s="632">
        <v>2018</v>
      </c>
      <c r="D33" s="1072">
        <v>0</v>
      </c>
      <c r="E33" s="1072">
        <v>0</v>
      </c>
      <c r="F33" s="1359">
        <f>123208373.91+456370.793538</f>
        <v>123664744.703538</v>
      </c>
      <c r="G33" s="1359">
        <f>20101220.48+238526.030866624</f>
        <v>20339746.510866623</v>
      </c>
      <c r="H33" s="1359">
        <f>65187846.76+33631.6156495245</f>
        <v>65221478.375649519</v>
      </c>
      <c r="I33" s="636"/>
      <c r="J33" s="633"/>
      <c r="K33" s="633"/>
    </row>
    <row r="34" spans="1:11" ht="13">
      <c r="A34" s="109">
        <f>A33+1</f>
        <v>16</v>
      </c>
      <c r="B34" s="631" t="s">
        <v>181</v>
      </c>
      <c r="C34" s="632">
        <v>2019</v>
      </c>
      <c r="D34" s="1072">
        <v>0</v>
      </c>
      <c r="E34" s="1072">
        <v>0</v>
      </c>
      <c r="F34" s="1359">
        <f>128092182.55+456370.793538</f>
        <v>128548553.343538</v>
      </c>
      <c r="G34" s="1359">
        <f>20216360.84+238526.030866624</f>
        <v>20454886.870866623</v>
      </c>
      <c r="H34" s="1359">
        <f>64859596.48+33631.6156495245</f>
        <v>64893228.095649518</v>
      </c>
      <c r="I34" s="636"/>
      <c r="J34" s="633"/>
      <c r="K34" s="633"/>
    </row>
    <row r="35" spans="1:11" ht="13">
      <c r="A35" s="109">
        <f t="shared" ref="A35:A46" si="3">A34+1</f>
        <v>17</v>
      </c>
      <c r="B35" s="634" t="s">
        <v>182</v>
      </c>
      <c r="C35" s="632">
        <v>2019</v>
      </c>
      <c r="D35" s="1072">
        <v>0</v>
      </c>
      <c r="E35" s="1072">
        <v>0</v>
      </c>
      <c r="F35" s="1359">
        <f>129020038.06+456370.793538</f>
        <v>129476408.85353801</v>
      </c>
      <c r="G35" s="1359">
        <f>20299975.9+238526.030866624</f>
        <v>20538501.930866621</v>
      </c>
      <c r="H35" s="1359">
        <f>65581867.08+33631.6156495245</f>
        <v>65615498.69564952</v>
      </c>
      <c r="I35" s="636"/>
      <c r="J35" s="633"/>
      <c r="K35" s="633"/>
    </row>
    <row r="36" spans="1:11" ht="13">
      <c r="A36" s="109">
        <f t="shared" si="3"/>
        <v>18</v>
      </c>
      <c r="B36" s="634" t="s">
        <v>195</v>
      </c>
      <c r="C36" s="632">
        <v>2019</v>
      </c>
      <c r="D36" s="1072">
        <v>0</v>
      </c>
      <c r="E36" s="1072">
        <v>0</v>
      </c>
      <c r="F36" s="1359">
        <f>129270522.58+456370.793538</f>
        <v>129726893.373538</v>
      </c>
      <c r="G36" s="1359">
        <f>20340469.41+238526.030866624</f>
        <v>20578995.440866623</v>
      </c>
      <c r="H36" s="1359">
        <f>67231841.66+33631.6156495245</f>
        <v>67265473.275649518</v>
      </c>
      <c r="I36" s="636"/>
      <c r="J36" s="633"/>
      <c r="K36" s="633"/>
    </row>
    <row r="37" spans="1:11" ht="13">
      <c r="A37" s="109">
        <f t="shared" si="3"/>
        <v>19</v>
      </c>
      <c r="B37" s="631" t="s">
        <v>183</v>
      </c>
      <c r="C37" s="632">
        <v>2019</v>
      </c>
      <c r="D37" s="1072">
        <v>0</v>
      </c>
      <c r="E37" s="1072">
        <v>0</v>
      </c>
      <c r="F37" s="1359">
        <f>140178321.44+456370.793538</f>
        <v>140634692.233538</v>
      </c>
      <c r="G37" s="1359">
        <f>20568513.64+330922.741266624</f>
        <v>20899436.381266624</v>
      </c>
      <c r="H37" s="1359">
        <f>68263414.89+33631.6156495245</f>
        <v>68297046.505649522</v>
      </c>
      <c r="I37" s="636"/>
      <c r="J37" s="633"/>
      <c r="K37" s="633"/>
    </row>
    <row r="38" spans="1:11" ht="13">
      <c r="A38" s="109">
        <f t="shared" si="3"/>
        <v>20</v>
      </c>
      <c r="B38" s="634" t="s">
        <v>184</v>
      </c>
      <c r="C38" s="632">
        <v>2019</v>
      </c>
      <c r="D38" s="1072">
        <v>0</v>
      </c>
      <c r="E38" s="1072">
        <v>0</v>
      </c>
      <c r="F38" s="1359">
        <f>148755309.84+456370.793538</f>
        <v>149211680.63353801</v>
      </c>
      <c r="G38" s="1359">
        <f>20672615.48+238526.030866624</f>
        <v>20911141.510866623</v>
      </c>
      <c r="H38" s="1359">
        <f>69855849.39+33662.5356495245</f>
        <v>69889511.925649524</v>
      </c>
      <c r="I38" s="636"/>
      <c r="J38" s="633"/>
      <c r="K38" s="633"/>
    </row>
    <row r="39" spans="1:11" ht="13">
      <c r="A39" s="109">
        <f t="shared" si="3"/>
        <v>21</v>
      </c>
      <c r="B39" s="634" t="s">
        <v>185</v>
      </c>
      <c r="C39" s="632">
        <v>2019</v>
      </c>
      <c r="D39" s="1072">
        <v>0</v>
      </c>
      <c r="E39" s="1072">
        <v>87058.16</v>
      </c>
      <c r="F39" s="1359">
        <f>158253219.63+456370.793538</f>
        <v>158709590.423538</v>
      </c>
      <c r="G39" s="1359">
        <f>20786417.91+238526.030866624</f>
        <v>21024943.940866623</v>
      </c>
      <c r="H39" s="1359">
        <f>72405171.41+33631.6156495245</f>
        <v>72438803.025649518</v>
      </c>
      <c r="I39" s="636"/>
      <c r="J39" s="633"/>
      <c r="K39" s="633"/>
    </row>
    <row r="40" spans="1:11" ht="13">
      <c r="A40" s="109">
        <f t="shared" si="3"/>
        <v>22</v>
      </c>
      <c r="B40" s="631" t="s">
        <v>186</v>
      </c>
      <c r="C40" s="632">
        <v>2019</v>
      </c>
      <c r="D40" s="1072">
        <v>0</v>
      </c>
      <c r="E40" s="1072">
        <v>98390.36</v>
      </c>
      <c r="F40" s="1359">
        <f>160897148.81+456370.793538</f>
        <v>161353519.60353801</v>
      </c>
      <c r="G40" s="1359">
        <f>20870506.37+238526.030866624</f>
        <v>21109032.400866624</v>
      </c>
      <c r="H40" s="1359">
        <f>73994268.5+33631.6156495245</f>
        <v>74027900.115649521</v>
      </c>
      <c r="I40" s="636"/>
      <c r="J40" s="633"/>
      <c r="K40" s="633"/>
    </row>
    <row r="41" spans="1:11" ht="13">
      <c r="A41" s="109">
        <f t="shared" si="3"/>
        <v>23</v>
      </c>
      <c r="B41" s="634" t="s">
        <v>187</v>
      </c>
      <c r="C41" s="632">
        <v>2019</v>
      </c>
      <c r="D41" s="1072">
        <v>0</v>
      </c>
      <c r="E41" s="1072">
        <v>111924.3</v>
      </c>
      <c r="F41" s="1359">
        <f>163331531.42+464831.88135</f>
        <v>163796363.30135</v>
      </c>
      <c r="G41" s="1359">
        <f>21042056.66+238526.030866624</f>
        <v>21280582.690866623</v>
      </c>
      <c r="H41" s="1359">
        <f>76121218.63+33631.6156495245</f>
        <v>76154850.245649517</v>
      </c>
      <c r="I41" s="636"/>
      <c r="J41" s="633"/>
      <c r="K41" s="633"/>
    </row>
    <row r="42" spans="1:11" ht="13">
      <c r="A42" s="109">
        <f t="shared" si="3"/>
        <v>24</v>
      </c>
      <c r="B42" s="634" t="s">
        <v>188</v>
      </c>
      <c r="C42" s="632">
        <v>2019</v>
      </c>
      <c r="D42" s="1072">
        <v>0</v>
      </c>
      <c r="E42" s="1072">
        <v>122336.3</v>
      </c>
      <c r="F42" s="1359">
        <f>172963345.62+464831.88135</f>
        <v>173428177.50135002</v>
      </c>
      <c r="G42" s="1359">
        <f>21184791.1+238526.030866624</f>
        <v>21423317.130866624</v>
      </c>
      <c r="H42" s="1359">
        <f>84007919.22+33631.6156495245</f>
        <v>84041550.83564952</v>
      </c>
      <c r="I42" s="636"/>
      <c r="J42" s="633"/>
      <c r="K42" s="633"/>
    </row>
    <row r="43" spans="1:11" ht="13">
      <c r="A43" s="109">
        <f t="shared" si="3"/>
        <v>25</v>
      </c>
      <c r="B43" s="631" t="s">
        <v>189</v>
      </c>
      <c r="C43" s="632">
        <v>2019</v>
      </c>
      <c r="D43" s="1072">
        <v>0</v>
      </c>
      <c r="E43" s="1072">
        <v>148302.65</v>
      </c>
      <c r="F43" s="1359">
        <f>180404574.19+464831.88135</f>
        <v>180869406.07135001</v>
      </c>
      <c r="G43" s="1359">
        <f>21434293.42+238526.030866624</f>
        <v>21672819.450866625</v>
      </c>
      <c r="H43" s="1359">
        <f>85024776.75+33631.6156495245</f>
        <v>85058408.365649521</v>
      </c>
      <c r="I43" s="636"/>
      <c r="J43" s="633"/>
      <c r="K43" s="633"/>
    </row>
    <row r="44" spans="1:11" ht="13">
      <c r="A44" s="109">
        <f t="shared" si="3"/>
        <v>26</v>
      </c>
      <c r="B44" s="631" t="s">
        <v>190</v>
      </c>
      <c r="C44" s="632">
        <v>2019</v>
      </c>
      <c r="D44" s="1072">
        <v>0</v>
      </c>
      <c r="E44" s="1072">
        <v>284388.24</v>
      </c>
      <c r="F44" s="1385">
        <f>184436998.32+464831.88135</f>
        <v>184901830.20135</v>
      </c>
      <c r="G44" s="1385">
        <f>21570700.27+238526.030866624</f>
        <v>21809226.300866622</v>
      </c>
      <c r="H44" s="1325">
        <f>88450776.58+33631.6156495245</f>
        <v>88484408.19564952</v>
      </c>
      <c r="I44" s="636"/>
      <c r="J44" s="633"/>
      <c r="K44" s="633"/>
    </row>
    <row r="45" spans="1:11" ht="13">
      <c r="A45" s="109">
        <f t="shared" si="3"/>
        <v>27</v>
      </c>
      <c r="B45" s="631" t="s">
        <v>180</v>
      </c>
      <c r="C45" s="632">
        <v>2019</v>
      </c>
      <c r="D45" s="115">
        <v>0</v>
      </c>
      <c r="E45" s="115">
        <v>301246.76</v>
      </c>
      <c r="F45" s="1386">
        <f>49845413.41+9529.5</f>
        <v>49854942.909999996</v>
      </c>
      <c r="G45" s="1386">
        <f>21762814.39+238526.030866624</f>
        <v>22001340.420866624</v>
      </c>
      <c r="H45" s="1387">
        <f>101708198.75+33631.6156495245</f>
        <v>101741830.36564952</v>
      </c>
      <c r="I45" s="636"/>
      <c r="J45" s="633"/>
      <c r="K45" s="633"/>
    </row>
    <row r="46" spans="1:11" ht="13">
      <c r="A46" s="109">
        <f t="shared" si="3"/>
        <v>28</v>
      </c>
      <c r="B46" s="631"/>
      <c r="C46" s="635" t="s">
        <v>539</v>
      </c>
      <c r="D46" s="524">
        <f>SUM(D33:D45)/13</f>
        <v>0</v>
      </c>
      <c r="E46" s="524">
        <f>SUM(E33:E45)/13</f>
        <v>88742.059230769228</v>
      </c>
      <c r="F46" s="524">
        <f>SUM(F33:F45)/13</f>
        <v>144167446.39643878</v>
      </c>
      <c r="G46" s="524">
        <f>SUM(G33:G45)/13</f>
        <v>21080305.460128166</v>
      </c>
      <c r="H46" s="524">
        <f>SUM(H33:H45)/13</f>
        <v>75625383.694111049</v>
      </c>
      <c r="I46" s="637" t="s">
        <v>76</v>
      </c>
      <c r="J46" s="633"/>
      <c r="K46" s="633"/>
    </row>
    <row r="48" spans="1:11" ht="13">
      <c r="B48" s="638" t="s">
        <v>1923</v>
      </c>
    </row>
    <row r="49" spans="1:13" ht="13">
      <c r="B49" s="638"/>
      <c r="D49" s="666" t="s">
        <v>359</v>
      </c>
      <c r="E49" s="666" t="s">
        <v>343</v>
      </c>
      <c r="F49" s="666" t="s">
        <v>344</v>
      </c>
      <c r="G49" s="666" t="s">
        <v>345</v>
      </c>
      <c r="H49" s="666" t="s">
        <v>346</v>
      </c>
      <c r="I49" s="666" t="s">
        <v>347</v>
      </c>
      <c r="J49" s="666" t="s">
        <v>348</v>
      </c>
      <c r="K49" s="666" t="s">
        <v>537</v>
      </c>
    </row>
    <row r="50" spans="1:13" s="667" customFormat="1">
      <c r="A50" s="851"/>
      <c r="D50" s="477" t="s">
        <v>211</v>
      </c>
      <c r="E50" s="477" t="s">
        <v>211</v>
      </c>
      <c r="F50" s="477" t="s">
        <v>211</v>
      </c>
      <c r="G50" s="477" t="s">
        <v>211</v>
      </c>
      <c r="H50" s="477" t="s">
        <v>211</v>
      </c>
      <c r="I50" s="477" t="s">
        <v>211</v>
      </c>
      <c r="J50" s="477" t="s">
        <v>211</v>
      </c>
      <c r="K50" s="477" t="s">
        <v>211</v>
      </c>
      <c r="L50" s="851"/>
    </row>
    <row r="51" spans="1:13" ht="13">
      <c r="G51" s="572" t="s">
        <v>1924</v>
      </c>
      <c r="K51" s="668"/>
    </row>
    <row r="52" spans="1:13" ht="13">
      <c r="A52" s="668"/>
      <c r="B52" s="668"/>
      <c r="C52" s="668"/>
      <c r="D52" s="668" t="s">
        <v>198</v>
      </c>
      <c r="E52" s="668" t="s">
        <v>1907</v>
      </c>
      <c r="F52" s="668" t="s">
        <v>1925</v>
      </c>
      <c r="G52" s="668" t="s">
        <v>196</v>
      </c>
      <c r="H52" s="668" t="s">
        <v>1926</v>
      </c>
      <c r="I52" s="669" t="s">
        <v>1927</v>
      </c>
      <c r="J52" s="668" t="s">
        <v>198</v>
      </c>
      <c r="K52" s="668" t="s">
        <v>18</v>
      </c>
    </row>
    <row r="53" spans="1:13" ht="13">
      <c r="A53" s="910" t="s">
        <v>330</v>
      </c>
      <c r="B53" s="630" t="s">
        <v>192</v>
      </c>
      <c r="C53" s="630" t="s">
        <v>193</v>
      </c>
      <c r="D53" s="666" t="s">
        <v>1928</v>
      </c>
      <c r="E53" s="666" t="s">
        <v>1908</v>
      </c>
      <c r="F53" s="666" t="s">
        <v>1929</v>
      </c>
      <c r="G53" s="666" t="s">
        <v>1930</v>
      </c>
      <c r="H53" s="666" t="s">
        <v>1931</v>
      </c>
      <c r="I53" s="666" t="s">
        <v>1932</v>
      </c>
      <c r="J53" s="666" t="s">
        <v>1933</v>
      </c>
      <c r="K53" s="3" t="s">
        <v>1934</v>
      </c>
    </row>
    <row r="54" spans="1:13" ht="13">
      <c r="A54" s="109">
        <f>A46+1</f>
        <v>29</v>
      </c>
      <c r="B54" s="631" t="s">
        <v>180</v>
      </c>
      <c r="C54" s="632">
        <v>2019</v>
      </c>
      <c r="D54" s="675" t="s">
        <v>76</v>
      </c>
      <c r="E54" s="675" t="s">
        <v>76</v>
      </c>
      <c r="F54" s="675" t="s">
        <v>76</v>
      </c>
      <c r="G54" s="675" t="s">
        <v>76</v>
      </c>
      <c r="H54" s="675" t="s">
        <v>76</v>
      </c>
      <c r="I54" s="675" t="s">
        <v>76</v>
      </c>
      <c r="J54" s="7">
        <f>D25</f>
        <v>647763205.16651607</v>
      </c>
      <c r="K54" s="675" t="s">
        <v>76</v>
      </c>
    </row>
    <row r="55" spans="1:13" ht="13">
      <c r="A55" s="109">
        <f>A54+1</f>
        <v>30</v>
      </c>
      <c r="B55" s="631" t="s">
        <v>181</v>
      </c>
      <c r="C55" s="632">
        <v>2020</v>
      </c>
      <c r="D55" s="7">
        <f t="shared" ref="D55:K64" si="4">D89+D122+D153+D186+D217+D250+D281+D314+D345+D378</f>
        <v>19435447.518800002</v>
      </c>
      <c r="E55" s="7">
        <f t="shared" si="4"/>
        <v>1457658.56391</v>
      </c>
      <c r="F55" s="7">
        <f t="shared" si="4"/>
        <v>20893106.082710002</v>
      </c>
      <c r="G55" s="7">
        <f t="shared" si="4"/>
        <v>1653969.8068000001</v>
      </c>
      <c r="H55" s="7">
        <f t="shared" si="4"/>
        <v>0</v>
      </c>
      <c r="I55" s="7">
        <f t="shared" si="4"/>
        <v>124047.73551000001</v>
      </c>
      <c r="J55" s="7">
        <f>J89+J122+J153+J186+J217+J250+J281+J314+J345+J378</f>
        <v>565136463.34126675</v>
      </c>
      <c r="K55" s="7">
        <f t="shared" si="4"/>
        <v>19115088.540399995</v>
      </c>
      <c r="L55" s="848"/>
      <c r="M55" s="7"/>
    </row>
    <row r="56" spans="1:13" ht="13">
      <c r="A56" s="109">
        <f t="shared" ref="A56:A79" si="5">A55+1</f>
        <v>31</v>
      </c>
      <c r="B56" s="634" t="s">
        <v>182</v>
      </c>
      <c r="C56" s="632">
        <v>2020</v>
      </c>
      <c r="D56" s="7">
        <f t="shared" si="4"/>
        <v>25334195.647</v>
      </c>
      <c r="E56" s="7">
        <f t="shared" si="4"/>
        <v>1900064.673525</v>
      </c>
      <c r="F56" s="7">
        <f t="shared" si="4"/>
        <v>27234260.320525002</v>
      </c>
      <c r="G56" s="7">
        <f t="shared" si="4"/>
        <v>1502677.0510000004</v>
      </c>
      <c r="H56" s="7">
        <f t="shared" si="4"/>
        <v>0</v>
      </c>
      <c r="I56" s="7">
        <f t="shared" si="4"/>
        <v>112700.77882500002</v>
      </c>
      <c r="J56" s="7">
        <f t="shared" si="4"/>
        <v>590755345.83196664</v>
      </c>
      <c r="K56" s="7">
        <f t="shared" si="4"/>
        <v>44733971.031099997</v>
      </c>
      <c r="L56" s="848"/>
      <c r="M56" s="7"/>
    </row>
    <row r="57" spans="1:13" ht="13">
      <c r="A57" s="109">
        <f t="shared" si="5"/>
        <v>32</v>
      </c>
      <c r="B57" s="634" t="s">
        <v>195</v>
      </c>
      <c r="C57" s="632">
        <v>2020</v>
      </c>
      <c r="D57" s="7">
        <f t="shared" si="4"/>
        <v>17847111.862</v>
      </c>
      <c r="E57" s="7">
        <f t="shared" si="4"/>
        <v>1338533.38965</v>
      </c>
      <c r="F57" s="7">
        <f t="shared" si="4"/>
        <v>19185645.251650002</v>
      </c>
      <c r="G57" s="7">
        <f t="shared" si="4"/>
        <v>984871.10199999996</v>
      </c>
      <c r="H57" s="7">
        <f t="shared" si="4"/>
        <v>0</v>
      </c>
      <c r="I57" s="7">
        <f t="shared" si="4"/>
        <v>73865.332649999997</v>
      </c>
      <c r="J57" s="7">
        <f t="shared" si="4"/>
        <v>608882254.64896667</v>
      </c>
      <c r="K57" s="7">
        <f t="shared" si="4"/>
        <v>62860879.848100007</v>
      </c>
      <c r="L57" s="848"/>
      <c r="M57" s="7"/>
    </row>
    <row r="58" spans="1:13" ht="13">
      <c r="A58" s="109">
        <f t="shared" si="5"/>
        <v>33</v>
      </c>
      <c r="B58" s="631" t="s">
        <v>183</v>
      </c>
      <c r="C58" s="632">
        <v>2020</v>
      </c>
      <c r="D58" s="7">
        <f t="shared" si="4"/>
        <v>27053200.310000002</v>
      </c>
      <c r="E58" s="7">
        <f t="shared" si="4"/>
        <v>2028990.0232500001</v>
      </c>
      <c r="F58" s="7">
        <f t="shared" si="4"/>
        <v>29082190.333250001</v>
      </c>
      <c r="G58" s="7">
        <f t="shared" si="4"/>
        <v>217331.31</v>
      </c>
      <c r="H58" s="7">
        <f t="shared" si="4"/>
        <v>0</v>
      </c>
      <c r="I58" s="7">
        <f t="shared" si="4"/>
        <v>16299.848249999999</v>
      </c>
      <c r="J58" s="7">
        <f t="shared" si="4"/>
        <v>637730813.82396662</v>
      </c>
      <c r="K58" s="7">
        <f t="shared" si="4"/>
        <v>91709439.023099974</v>
      </c>
      <c r="L58" s="848"/>
      <c r="M58" s="7"/>
    </row>
    <row r="59" spans="1:13" ht="13">
      <c r="A59" s="109">
        <f t="shared" si="5"/>
        <v>34</v>
      </c>
      <c r="B59" s="634" t="s">
        <v>184</v>
      </c>
      <c r="C59" s="632">
        <v>2020</v>
      </c>
      <c r="D59" s="7">
        <f t="shared" si="4"/>
        <v>31518597.073999997</v>
      </c>
      <c r="E59" s="7">
        <f t="shared" si="4"/>
        <v>2363894.7805499993</v>
      </c>
      <c r="F59" s="7">
        <f t="shared" si="4"/>
        <v>33882491.854549997</v>
      </c>
      <c r="G59" s="7">
        <f t="shared" si="4"/>
        <v>486868.45000000007</v>
      </c>
      <c r="H59" s="7">
        <f t="shared" si="4"/>
        <v>344737.14</v>
      </c>
      <c r="I59" s="7">
        <f t="shared" si="4"/>
        <v>10659.848250000003</v>
      </c>
      <c r="J59" s="7">
        <f t="shared" si="4"/>
        <v>671115777.38026667</v>
      </c>
      <c r="K59" s="7">
        <f t="shared" si="4"/>
        <v>125094402.57939997</v>
      </c>
      <c r="L59" s="848"/>
      <c r="M59" s="7"/>
    </row>
    <row r="60" spans="1:13" ht="13">
      <c r="A60" s="109">
        <f t="shared" si="5"/>
        <v>35</v>
      </c>
      <c r="B60" s="634" t="s">
        <v>1464</v>
      </c>
      <c r="C60" s="632">
        <v>2020</v>
      </c>
      <c r="D60" s="7">
        <f t="shared" si="4"/>
        <v>25116078.349799998</v>
      </c>
      <c r="E60" s="7">
        <f t="shared" si="4"/>
        <v>1883705.8762349999</v>
      </c>
      <c r="F60" s="7">
        <f t="shared" si="4"/>
        <v>26999784.226034999</v>
      </c>
      <c r="G60" s="7">
        <f t="shared" si="4"/>
        <v>733106.59579999989</v>
      </c>
      <c r="H60" s="7">
        <f t="shared" si="4"/>
        <v>410800.01</v>
      </c>
      <c r="I60" s="7">
        <f t="shared" si="4"/>
        <v>24172.993934999991</v>
      </c>
      <c r="J60" s="7">
        <f t="shared" si="4"/>
        <v>697358282.01656663</v>
      </c>
      <c r="K60" s="7">
        <f t="shared" si="4"/>
        <v>151336907.21569997</v>
      </c>
      <c r="L60" s="848"/>
      <c r="M60" s="7"/>
    </row>
    <row r="61" spans="1:13" ht="13">
      <c r="A61" s="109">
        <f t="shared" si="5"/>
        <v>36</v>
      </c>
      <c r="B61" s="631" t="s">
        <v>186</v>
      </c>
      <c r="C61" s="632">
        <v>2020</v>
      </c>
      <c r="D61" s="7">
        <f t="shared" si="4"/>
        <v>29486197.903999999</v>
      </c>
      <c r="E61" s="7">
        <f t="shared" si="4"/>
        <v>2211464.8428000002</v>
      </c>
      <c r="F61" s="7">
        <f t="shared" si="4"/>
        <v>31697662.746799998</v>
      </c>
      <c r="G61" s="7">
        <f t="shared" si="4"/>
        <v>21632.14</v>
      </c>
      <c r="H61" s="7">
        <f t="shared" si="4"/>
        <v>0</v>
      </c>
      <c r="I61" s="7">
        <f t="shared" si="4"/>
        <v>1622.4105</v>
      </c>
      <c r="J61" s="7">
        <f t="shared" si="4"/>
        <v>729032690.21286654</v>
      </c>
      <c r="K61" s="7">
        <f t="shared" si="4"/>
        <v>183011315.41199997</v>
      </c>
      <c r="L61" s="848"/>
      <c r="M61" s="7"/>
    </row>
    <row r="62" spans="1:13" ht="13">
      <c r="A62" s="109">
        <f t="shared" si="5"/>
        <v>37</v>
      </c>
      <c r="B62" s="634" t="s">
        <v>187</v>
      </c>
      <c r="C62" s="632">
        <v>2020</v>
      </c>
      <c r="D62" s="7">
        <f t="shared" si="4"/>
        <v>26810024.675999999</v>
      </c>
      <c r="E62" s="7">
        <f t="shared" si="4"/>
        <v>2010751.8507000001</v>
      </c>
      <c r="F62" s="7">
        <f t="shared" si="4"/>
        <v>28820776.526700001</v>
      </c>
      <c r="G62" s="7">
        <f t="shared" si="4"/>
        <v>21632.14</v>
      </c>
      <c r="H62" s="7">
        <f t="shared" si="4"/>
        <v>0</v>
      </c>
      <c r="I62" s="7">
        <f t="shared" si="4"/>
        <v>1622.4105</v>
      </c>
      <c r="J62" s="7">
        <f t="shared" si="4"/>
        <v>757830212.18906665</v>
      </c>
      <c r="K62" s="7">
        <f t="shared" si="4"/>
        <v>211808837.38819999</v>
      </c>
      <c r="L62" s="848"/>
      <c r="M62" s="7"/>
    </row>
    <row r="63" spans="1:13" ht="13">
      <c r="A63" s="109">
        <f t="shared" si="5"/>
        <v>38</v>
      </c>
      <c r="B63" s="634" t="s">
        <v>188</v>
      </c>
      <c r="C63" s="632">
        <v>2020</v>
      </c>
      <c r="D63" s="7">
        <f t="shared" si="4"/>
        <v>24474044.903999999</v>
      </c>
      <c r="E63" s="7">
        <f t="shared" si="4"/>
        <v>1835553.3677999999</v>
      </c>
      <c r="F63" s="7">
        <f t="shared" si="4"/>
        <v>26309598.2718</v>
      </c>
      <c r="G63" s="7">
        <f t="shared" si="4"/>
        <v>21632.14</v>
      </c>
      <c r="H63" s="7">
        <f t="shared" si="4"/>
        <v>0</v>
      </c>
      <c r="I63" s="7">
        <f t="shared" si="4"/>
        <v>1622.4105</v>
      </c>
      <c r="J63" s="7">
        <f t="shared" si="4"/>
        <v>784116555.91036665</v>
      </c>
      <c r="K63" s="7">
        <f t="shared" si="4"/>
        <v>238095181.10949993</v>
      </c>
      <c r="L63" s="848"/>
      <c r="M63" s="7"/>
    </row>
    <row r="64" spans="1:13" ht="13">
      <c r="A64" s="109">
        <f t="shared" si="5"/>
        <v>39</v>
      </c>
      <c r="B64" s="631" t="s">
        <v>191</v>
      </c>
      <c r="C64" s="632">
        <v>2020</v>
      </c>
      <c r="D64" s="7">
        <f t="shared" si="4"/>
        <v>24267434.903999999</v>
      </c>
      <c r="E64" s="7">
        <f t="shared" si="4"/>
        <v>1820057.6177999999</v>
      </c>
      <c r="F64" s="7">
        <f t="shared" si="4"/>
        <v>26087492.5218</v>
      </c>
      <c r="G64" s="7">
        <f t="shared" si="4"/>
        <v>20965331.019999996</v>
      </c>
      <c r="H64" s="7">
        <f t="shared" si="4"/>
        <v>17136385.879999999</v>
      </c>
      <c r="I64" s="7">
        <f t="shared" si="4"/>
        <v>287170.88549999968</v>
      </c>
      <c r="J64" s="7">
        <f t="shared" si="4"/>
        <v>788951546.52666652</v>
      </c>
      <c r="K64" s="7">
        <f t="shared" si="4"/>
        <v>242930171.72579992</v>
      </c>
      <c r="L64" s="848"/>
      <c r="M64" s="7"/>
    </row>
    <row r="65" spans="1:13" ht="13">
      <c r="A65" s="109">
        <f t="shared" si="5"/>
        <v>40</v>
      </c>
      <c r="B65" s="631" t="s">
        <v>190</v>
      </c>
      <c r="C65" s="632">
        <v>2020</v>
      </c>
      <c r="D65" s="7">
        <f t="shared" ref="D65:K74" si="6">D99+D132+D163+D196+D227+D260+D291+D324+D355+D388</f>
        <v>16233495.540000001</v>
      </c>
      <c r="E65" s="7">
        <f t="shared" si="6"/>
        <v>1217512.1654999999</v>
      </c>
      <c r="F65" s="7">
        <f t="shared" si="6"/>
        <v>17451007.705499999</v>
      </c>
      <c r="G65" s="7">
        <f t="shared" si="6"/>
        <v>289632.14</v>
      </c>
      <c r="H65" s="7">
        <f t="shared" si="6"/>
        <v>0</v>
      </c>
      <c r="I65" s="7">
        <f t="shared" si="6"/>
        <v>21722.410499999998</v>
      </c>
      <c r="J65" s="7">
        <f t="shared" si="6"/>
        <v>806091199.68166661</v>
      </c>
      <c r="K65" s="7">
        <f t="shared" si="6"/>
        <v>260069824.88079995</v>
      </c>
      <c r="L65" s="848"/>
      <c r="M65" s="7"/>
    </row>
    <row r="66" spans="1:13" ht="13">
      <c r="A66" s="109">
        <f t="shared" si="5"/>
        <v>41</v>
      </c>
      <c r="B66" s="631" t="s">
        <v>180</v>
      </c>
      <c r="C66" s="632">
        <v>2020</v>
      </c>
      <c r="D66" s="7">
        <f t="shared" si="6"/>
        <v>36474511.871199995</v>
      </c>
      <c r="E66" s="7">
        <f t="shared" si="6"/>
        <v>2735588.3903399995</v>
      </c>
      <c r="F66" s="7">
        <f t="shared" si="6"/>
        <v>39210100.261539996</v>
      </c>
      <c r="G66" s="7">
        <f t="shared" si="6"/>
        <v>554534219.29120004</v>
      </c>
      <c r="H66" s="7">
        <f t="shared" si="6"/>
        <v>394845413.81999999</v>
      </c>
      <c r="I66" s="7">
        <f t="shared" si="6"/>
        <v>11976660.41034</v>
      </c>
      <c r="J66" s="7">
        <f t="shared" si="6"/>
        <v>278790420.24166656</v>
      </c>
      <c r="K66" s="7">
        <f t="shared" si="6"/>
        <v>-267230954.55920011</v>
      </c>
      <c r="L66" s="848"/>
      <c r="M66" s="7"/>
    </row>
    <row r="67" spans="1:13" ht="13">
      <c r="A67" s="109">
        <f t="shared" si="5"/>
        <v>42</v>
      </c>
      <c r="B67" s="631" t="s">
        <v>181</v>
      </c>
      <c r="C67" s="632">
        <v>2021</v>
      </c>
      <c r="D67" s="7">
        <f t="shared" si="6"/>
        <v>16090391.000000002</v>
      </c>
      <c r="E67" s="7">
        <f t="shared" si="6"/>
        <v>1206779.3250000002</v>
      </c>
      <c r="F67" s="7">
        <f t="shared" si="6"/>
        <v>17297170.325000003</v>
      </c>
      <c r="G67" s="7">
        <f t="shared" si="6"/>
        <v>5529600</v>
      </c>
      <c r="H67" s="7">
        <f t="shared" si="6"/>
        <v>0</v>
      </c>
      <c r="I67" s="7">
        <f t="shared" si="6"/>
        <v>414720</v>
      </c>
      <c r="J67" s="7">
        <f t="shared" si="6"/>
        <v>290143270.56666654</v>
      </c>
      <c r="K67" s="7">
        <f t="shared" si="6"/>
        <v>-255878104.23420012</v>
      </c>
      <c r="L67" s="848"/>
      <c r="M67" s="7"/>
    </row>
    <row r="68" spans="1:13" ht="13">
      <c r="A68" s="109">
        <f t="shared" si="5"/>
        <v>43</v>
      </c>
      <c r="B68" s="634" t="s">
        <v>182</v>
      </c>
      <c r="C68" s="632">
        <v>2021</v>
      </c>
      <c r="D68" s="7">
        <f t="shared" si="6"/>
        <v>15640963</v>
      </c>
      <c r="E68" s="7">
        <f t="shared" si="6"/>
        <v>1173072.2250000001</v>
      </c>
      <c r="F68" s="7">
        <f t="shared" si="6"/>
        <v>16814035.225000001</v>
      </c>
      <c r="G68" s="7">
        <f t="shared" si="6"/>
        <v>5747600</v>
      </c>
      <c r="H68" s="7">
        <f t="shared" si="6"/>
        <v>0</v>
      </c>
      <c r="I68" s="7">
        <f t="shared" si="6"/>
        <v>431070</v>
      </c>
      <c r="J68" s="7">
        <f t="shared" si="6"/>
        <v>300778635.79166657</v>
      </c>
      <c r="K68" s="7">
        <f t="shared" si="6"/>
        <v>-245242739.0092001</v>
      </c>
      <c r="L68" s="848"/>
      <c r="M68" s="7"/>
    </row>
    <row r="69" spans="1:13" ht="13">
      <c r="A69" s="109">
        <f t="shared" si="5"/>
        <v>44</v>
      </c>
      <c r="B69" s="634" t="s">
        <v>195</v>
      </c>
      <c r="C69" s="632">
        <v>2021</v>
      </c>
      <c r="D69" s="7">
        <f t="shared" si="6"/>
        <v>20920296</v>
      </c>
      <c r="E69" s="7">
        <f t="shared" si="6"/>
        <v>1569022.2</v>
      </c>
      <c r="F69" s="7">
        <f t="shared" si="6"/>
        <v>22489318.199999999</v>
      </c>
      <c r="G69" s="7">
        <f t="shared" si="6"/>
        <v>7860041</v>
      </c>
      <c r="H69" s="7">
        <f t="shared" si="6"/>
        <v>0</v>
      </c>
      <c r="I69" s="7">
        <f t="shared" si="6"/>
        <v>589503.07499999995</v>
      </c>
      <c r="J69" s="7">
        <f t="shared" si="6"/>
        <v>314818409.91666651</v>
      </c>
      <c r="K69" s="7">
        <f t="shared" si="6"/>
        <v>-231202964.8842001</v>
      </c>
      <c r="L69" s="848"/>
      <c r="M69" s="7"/>
    </row>
    <row r="70" spans="1:13" ht="13">
      <c r="A70" s="109">
        <f t="shared" si="5"/>
        <v>45</v>
      </c>
      <c r="B70" s="631" t="s">
        <v>183</v>
      </c>
      <c r="C70" s="632">
        <v>2021</v>
      </c>
      <c r="D70" s="7">
        <f t="shared" si="6"/>
        <v>16861148</v>
      </c>
      <c r="E70" s="7">
        <f t="shared" si="6"/>
        <v>1264586.1000000001</v>
      </c>
      <c r="F70" s="7">
        <f t="shared" si="6"/>
        <v>18125734.100000001</v>
      </c>
      <c r="G70" s="7">
        <f t="shared" si="6"/>
        <v>33916245.480000004</v>
      </c>
      <c r="H70" s="7">
        <f t="shared" si="6"/>
        <v>13129540.48</v>
      </c>
      <c r="I70" s="7">
        <f t="shared" si="6"/>
        <v>1559002.875</v>
      </c>
      <c r="J70" s="7">
        <f t="shared" si="6"/>
        <v>297468895.66166657</v>
      </c>
      <c r="K70" s="7">
        <f t="shared" si="6"/>
        <v>-248552479.13920009</v>
      </c>
      <c r="L70" s="848"/>
      <c r="M70" s="7"/>
    </row>
    <row r="71" spans="1:13" ht="13">
      <c r="A71" s="109">
        <f t="shared" si="5"/>
        <v>46</v>
      </c>
      <c r="B71" s="634" t="s">
        <v>184</v>
      </c>
      <c r="C71" s="632">
        <v>2021</v>
      </c>
      <c r="D71" s="7">
        <f t="shared" si="6"/>
        <v>18835980</v>
      </c>
      <c r="E71" s="7">
        <f t="shared" si="6"/>
        <v>1412698.5</v>
      </c>
      <c r="F71" s="7">
        <f t="shared" si="6"/>
        <v>20248678.5</v>
      </c>
      <c r="G71" s="7">
        <f t="shared" si="6"/>
        <v>104418012.50999999</v>
      </c>
      <c r="H71" s="7">
        <f t="shared" si="6"/>
        <v>88739103.510000005</v>
      </c>
      <c r="I71" s="7">
        <f t="shared" si="6"/>
        <v>1175918.1749999993</v>
      </c>
      <c r="J71" s="7">
        <f t="shared" si="6"/>
        <v>212123643.47666654</v>
      </c>
      <c r="K71" s="7">
        <f t="shared" si="6"/>
        <v>-333897731.32420009</v>
      </c>
      <c r="L71" s="848"/>
      <c r="M71" s="7"/>
    </row>
    <row r="72" spans="1:13" ht="13">
      <c r="A72" s="109">
        <f t="shared" si="5"/>
        <v>47</v>
      </c>
      <c r="B72" s="634" t="s">
        <v>1464</v>
      </c>
      <c r="C72" s="632">
        <v>2021</v>
      </c>
      <c r="D72" s="7">
        <f t="shared" si="6"/>
        <v>16320647</v>
      </c>
      <c r="E72" s="7">
        <f t="shared" si="6"/>
        <v>1224048.5249999999</v>
      </c>
      <c r="F72" s="7">
        <f t="shared" si="6"/>
        <v>17544695.524999999</v>
      </c>
      <c r="G72" s="7">
        <f t="shared" si="6"/>
        <v>8864649</v>
      </c>
      <c r="H72" s="7">
        <f t="shared" si="6"/>
        <v>0</v>
      </c>
      <c r="I72" s="7">
        <f t="shared" si="6"/>
        <v>664848.67500000005</v>
      </c>
      <c r="J72" s="7">
        <f t="shared" si="6"/>
        <v>220138841.32666653</v>
      </c>
      <c r="K72" s="7">
        <f t="shared" si="6"/>
        <v>-325882533.47420013</v>
      </c>
      <c r="L72" s="848"/>
      <c r="M72" s="7"/>
    </row>
    <row r="73" spans="1:13" ht="13">
      <c r="A73" s="109">
        <f t="shared" si="5"/>
        <v>48</v>
      </c>
      <c r="B73" s="631" t="s">
        <v>186</v>
      </c>
      <c r="C73" s="632">
        <v>2021</v>
      </c>
      <c r="D73" s="7">
        <f t="shared" si="6"/>
        <v>13348594</v>
      </c>
      <c r="E73" s="7">
        <f t="shared" si="6"/>
        <v>1001144.5499999998</v>
      </c>
      <c r="F73" s="7">
        <f t="shared" si="6"/>
        <v>14349738.549999997</v>
      </c>
      <c r="G73" s="7">
        <f t="shared" si="6"/>
        <v>5774740</v>
      </c>
      <c r="H73" s="7">
        <f t="shared" si="6"/>
        <v>0</v>
      </c>
      <c r="I73" s="7">
        <f t="shared" si="6"/>
        <v>433105.5</v>
      </c>
      <c r="J73" s="7">
        <f t="shared" si="6"/>
        <v>228280734.37666652</v>
      </c>
      <c r="K73" s="7">
        <f t="shared" si="6"/>
        <v>-317740640.42420018</v>
      </c>
      <c r="L73" s="848"/>
      <c r="M73" s="7"/>
    </row>
    <row r="74" spans="1:13" ht="13">
      <c r="A74" s="109">
        <f t="shared" si="5"/>
        <v>49</v>
      </c>
      <c r="B74" s="634" t="s">
        <v>187</v>
      </c>
      <c r="C74" s="632">
        <v>2021</v>
      </c>
      <c r="D74" s="7">
        <f t="shared" si="6"/>
        <v>13335594</v>
      </c>
      <c r="E74" s="7">
        <f t="shared" si="6"/>
        <v>1000169.5499999998</v>
      </c>
      <c r="F74" s="7">
        <f t="shared" si="6"/>
        <v>14335763.549999997</v>
      </c>
      <c r="G74" s="7">
        <f t="shared" si="6"/>
        <v>185770011.63999996</v>
      </c>
      <c r="H74" s="7">
        <f t="shared" si="6"/>
        <v>35442344.640000001</v>
      </c>
      <c r="I74" s="7">
        <f t="shared" si="6"/>
        <v>11274575.024999997</v>
      </c>
      <c r="J74" s="7">
        <f t="shared" si="6"/>
        <v>45571911.261666536</v>
      </c>
      <c r="K74" s="7">
        <f t="shared" si="6"/>
        <v>-500449463.53920013</v>
      </c>
      <c r="L74" s="848"/>
      <c r="M74" s="7"/>
    </row>
    <row r="75" spans="1:13" ht="13">
      <c r="A75" s="109">
        <f t="shared" si="5"/>
        <v>50</v>
      </c>
      <c r="B75" s="634" t="s">
        <v>188</v>
      </c>
      <c r="C75" s="632">
        <v>2021</v>
      </c>
      <c r="D75" s="7">
        <f t="shared" ref="D75:K75" si="7">D109+D142+D173+D206+D237+D270+D301+D334+D365+D398</f>
        <v>12479048</v>
      </c>
      <c r="E75" s="7">
        <f t="shared" si="7"/>
        <v>935928.59999999986</v>
      </c>
      <c r="F75" s="7">
        <f t="shared" si="7"/>
        <v>13414976.599999998</v>
      </c>
      <c r="G75" s="7">
        <f t="shared" si="7"/>
        <v>19236333.759999998</v>
      </c>
      <c r="H75" s="7">
        <f t="shared" si="7"/>
        <v>301246.76</v>
      </c>
      <c r="I75" s="7">
        <f t="shared" si="7"/>
        <v>1420131.5249999997</v>
      </c>
      <c r="J75" s="7">
        <f t="shared" si="7"/>
        <v>38330422.576666549</v>
      </c>
      <c r="K75" s="483">
        <f t="shared" si="7"/>
        <v>-507690952.22420013</v>
      </c>
      <c r="L75" s="848"/>
      <c r="M75" s="7"/>
    </row>
    <row r="76" spans="1:13" ht="13">
      <c r="A76" s="109">
        <f t="shared" si="5"/>
        <v>51</v>
      </c>
      <c r="B76" s="634" t="s">
        <v>191</v>
      </c>
      <c r="C76" s="632">
        <v>2021</v>
      </c>
      <c r="D76" s="7">
        <f t="shared" ref="D76:E78" si="8">D110+D143+D174+D207+D238+D271+D302+D335+D366+D399</f>
        <v>11692594</v>
      </c>
      <c r="E76" s="7">
        <f t="shared" si="8"/>
        <v>876944.54999999981</v>
      </c>
      <c r="F76" s="7">
        <f t="shared" ref="F76:K78" si="9">F110+F143+F174+F207+F238+F271+F302+F335+F366+F399</f>
        <v>12569538.549999997</v>
      </c>
      <c r="G76" s="7">
        <f t="shared" si="9"/>
        <v>15946471.609999999</v>
      </c>
      <c r="H76" s="7">
        <f t="shared" si="9"/>
        <v>4965082.6100000003</v>
      </c>
      <c r="I76" s="7">
        <f t="shared" si="9"/>
        <v>823604.17499999993</v>
      </c>
      <c r="J76" s="7">
        <f t="shared" si="9"/>
        <v>34129885.341666549</v>
      </c>
      <c r="K76" s="483">
        <f t="shared" si="9"/>
        <v>-511891489.45920014</v>
      </c>
      <c r="L76" s="848"/>
      <c r="M76" s="7"/>
    </row>
    <row r="77" spans="1:13" ht="13">
      <c r="A77" s="109">
        <f t="shared" si="5"/>
        <v>52</v>
      </c>
      <c r="B77" s="634" t="s">
        <v>190</v>
      </c>
      <c r="C77" s="632">
        <v>2021</v>
      </c>
      <c r="D77" s="7">
        <f t="shared" si="8"/>
        <v>11475594</v>
      </c>
      <c r="E77" s="7">
        <f t="shared" si="8"/>
        <v>860669.54999999981</v>
      </c>
      <c r="F77" s="7">
        <f t="shared" si="9"/>
        <v>12336263.549999997</v>
      </c>
      <c r="G77" s="7">
        <f t="shared" si="9"/>
        <v>10090159</v>
      </c>
      <c r="H77" s="7">
        <f t="shared" si="9"/>
        <v>0</v>
      </c>
      <c r="I77" s="7">
        <f t="shared" si="9"/>
        <v>756761.92499999981</v>
      </c>
      <c r="J77" s="7">
        <f t="shared" si="9"/>
        <v>35619227.966666549</v>
      </c>
      <c r="K77" s="483">
        <f t="shared" si="9"/>
        <v>-510402146.83420008</v>
      </c>
      <c r="L77" s="848"/>
      <c r="M77" s="7"/>
    </row>
    <row r="78" spans="1:13" ht="13">
      <c r="A78" s="109">
        <f t="shared" si="5"/>
        <v>53</v>
      </c>
      <c r="B78" s="634" t="s">
        <v>180</v>
      </c>
      <c r="C78" s="632">
        <v>2021</v>
      </c>
      <c r="D78" s="7">
        <f t="shared" si="8"/>
        <v>12468014.999999998</v>
      </c>
      <c r="E78" s="7">
        <f t="shared" si="8"/>
        <v>935101.12499999977</v>
      </c>
      <c r="F78" s="7">
        <f t="shared" si="9"/>
        <v>13403116.124999996</v>
      </c>
      <c r="G78" s="7">
        <f t="shared" si="9"/>
        <v>78796464.099999994</v>
      </c>
      <c r="H78" s="7">
        <f t="shared" si="9"/>
        <v>41240899.099999994</v>
      </c>
      <c r="I78" s="7">
        <f t="shared" si="9"/>
        <v>2816667.375</v>
      </c>
      <c r="J78" s="7">
        <f t="shared" si="9"/>
        <v>-32590787.383333459</v>
      </c>
      <c r="K78" s="91">
        <f>K112+K145+K176+K209+K240+K273+K304+K337+K368+K401</f>
        <v>-578612162.18420017</v>
      </c>
      <c r="L78" s="849"/>
      <c r="M78" s="7"/>
    </row>
    <row r="79" spans="1:13" ht="13">
      <c r="A79" s="109">
        <f t="shared" si="5"/>
        <v>54</v>
      </c>
      <c r="C79" s="670" t="s">
        <v>1614</v>
      </c>
      <c r="K79" s="73">
        <f>AVERAGE(K66:K78)</f>
        <v>-371898027.79150784</v>
      </c>
      <c r="L79" s="852"/>
    </row>
    <row r="81" spans="1:11" ht="13">
      <c r="B81" s="638" t="s">
        <v>1935</v>
      </c>
    </row>
    <row r="82" spans="1:11" s="671" customFormat="1" ht="13">
      <c r="B82" s="672" t="s">
        <v>1936</v>
      </c>
      <c r="D82" s="1396" t="s">
        <v>223</v>
      </c>
      <c r="E82" s="1396"/>
    </row>
    <row r="83" spans="1:11" s="666" customFormat="1" ht="13">
      <c r="D83" s="666" t="s">
        <v>359</v>
      </c>
      <c r="E83" s="666" t="s">
        <v>343</v>
      </c>
      <c r="F83" s="666" t="s">
        <v>344</v>
      </c>
      <c r="G83" s="666" t="s">
        <v>345</v>
      </c>
      <c r="H83" s="666" t="s">
        <v>346</v>
      </c>
      <c r="I83" s="666" t="s">
        <v>347</v>
      </c>
      <c r="J83" s="666" t="s">
        <v>348</v>
      </c>
      <c r="K83" s="666" t="s">
        <v>537</v>
      </c>
    </row>
    <row r="84" spans="1:11" s="671" customFormat="1" ht="26.15" customHeight="1">
      <c r="D84" s="673"/>
      <c r="E84" s="674" t="s">
        <v>2069</v>
      </c>
      <c r="F84" s="675" t="s">
        <v>1937</v>
      </c>
      <c r="G84" s="485"/>
      <c r="H84" s="673"/>
      <c r="I84" s="674" t="s">
        <v>2070</v>
      </c>
      <c r="J84" s="674" t="s">
        <v>1938</v>
      </c>
      <c r="K84" s="674" t="s">
        <v>1939</v>
      </c>
    </row>
    <row r="85" spans="1:11" s="671" customFormat="1" ht="13">
      <c r="D85" s="673"/>
      <c r="E85" s="676"/>
      <c r="F85" s="676"/>
      <c r="G85" s="572" t="str">
        <f>G51</f>
        <v>Unloaded</v>
      </c>
      <c r="H85" s="673"/>
      <c r="I85" s="676"/>
      <c r="J85" s="676"/>
      <c r="K85" s="572"/>
    </row>
    <row r="86" spans="1:11" s="668" customFormat="1" ht="13">
      <c r="D86" s="668" t="str">
        <f>D$52</f>
        <v>Forecast</v>
      </c>
      <c r="E86" s="668" t="str">
        <f t="shared" ref="E86:J86" si="10">E$52</f>
        <v>Corporate</v>
      </c>
      <c r="F86" s="668" t="str">
        <f t="shared" si="10"/>
        <v xml:space="preserve">Total </v>
      </c>
      <c r="G86" s="572" t="str">
        <f>G52</f>
        <v>Total</v>
      </c>
      <c r="H86" s="668" t="str">
        <f t="shared" si="10"/>
        <v>Prior Period</v>
      </c>
      <c r="I86" s="668" t="str">
        <f t="shared" si="10"/>
        <v>Over Heads</v>
      </c>
      <c r="J86" s="668" t="str">
        <f t="shared" si="10"/>
        <v>Forecast</v>
      </c>
      <c r="K86" s="572" t="str">
        <f>K$52</f>
        <v>Forecast Period</v>
      </c>
    </row>
    <row r="87" spans="1:11" s="671" customFormat="1" ht="13">
      <c r="A87" s="910" t="s">
        <v>330</v>
      </c>
      <c r="B87" s="630" t="s">
        <v>192</v>
      </c>
      <c r="C87" s="630" t="s">
        <v>193</v>
      </c>
      <c r="D87" s="666" t="str">
        <f>D$53</f>
        <v>Expenditures</v>
      </c>
      <c r="E87" s="666" t="str">
        <f t="shared" ref="E87:J87" si="11">E$53</f>
        <v>Overheads</v>
      </c>
      <c r="F87" s="666" t="str">
        <f t="shared" si="11"/>
        <v>CWIP Exp</v>
      </c>
      <c r="G87" s="3" t="str">
        <f>G53</f>
        <v>Plant Adds</v>
      </c>
      <c r="H87" s="666" t="str">
        <f t="shared" si="11"/>
        <v>CWIP Closed</v>
      </c>
      <c r="I87" s="666" t="str">
        <f t="shared" si="11"/>
        <v>Closed to PIS</v>
      </c>
      <c r="J87" s="666" t="str">
        <f t="shared" si="11"/>
        <v>Period CWIP</v>
      </c>
      <c r="K87" s="666" t="str">
        <f>K$53</f>
        <v>Incremental CWIP</v>
      </c>
    </row>
    <row r="88" spans="1:11" s="671" customFormat="1" ht="13">
      <c r="A88" s="109">
        <f>A79+1</f>
        <v>55</v>
      </c>
      <c r="B88" s="631" t="s">
        <v>180</v>
      </c>
      <c r="C88" s="632">
        <v>2019</v>
      </c>
      <c r="D88" s="675" t="s">
        <v>76</v>
      </c>
      <c r="E88" s="675" t="s">
        <v>76</v>
      </c>
      <c r="F88" s="675" t="s">
        <v>76</v>
      </c>
      <c r="G88" s="675" t="s">
        <v>76</v>
      </c>
      <c r="H88" s="675" t="s">
        <v>76</v>
      </c>
      <c r="I88" s="675" t="s">
        <v>76</v>
      </c>
      <c r="J88" s="63">
        <f>E25</f>
        <v>157682.99</v>
      </c>
      <c r="K88" s="675" t="s">
        <v>76</v>
      </c>
    </row>
    <row r="89" spans="1:11" s="671" customFormat="1" ht="13">
      <c r="A89" s="109">
        <f>A88+1</f>
        <v>56</v>
      </c>
      <c r="B89" s="631" t="s">
        <v>181</v>
      </c>
      <c r="C89" s="632">
        <v>2020</v>
      </c>
      <c r="D89" s="1072">
        <v>62105.999999999993</v>
      </c>
      <c r="E89" s="63">
        <f>D89*'16-PlantAdditions'!$E$103</f>
        <v>4657.9499999999989</v>
      </c>
      <c r="F89" s="63">
        <f>E89+D89</f>
        <v>66763.95</v>
      </c>
      <c r="G89" s="1072">
        <v>62105.999999999993</v>
      </c>
      <c r="H89" s="1072">
        <v>0</v>
      </c>
      <c r="I89" s="63">
        <f>(G89-H89)*'16-PlantAdditions'!$E$103</f>
        <v>4657.9499999999989</v>
      </c>
      <c r="J89" s="63">
        <f>J88+F89-G89-I89</f>
        <v>157682.99</v>
      </c>
      <c r="K89" s="63">
        <f>J89-$J$88</f>
        <v>0</v>
      </c>
    </row>
    <row r="90" spans="1:11" s="671" customFormat="1" ht="13">
      <c r="A90" s="109">
        <f t="shared" ref="A90:A108" si="12">A89+1</f>
        <v>57</v>
      </c>
      <c r="B90" s="634" t="s">
        <v>182</v>
      </c>
      <c r="C90" s="632">
        <v>2020</v>
      </c>
      <c r="D90" s="1072">
        <v>380880.00000000006</v>
      </c>
      <c r="E90" s="63">
        <f>D90*'16-PlantAdditions'!$E$103</f>
        <v>28566.000000000004</v>
      </c>
      <c r="F90" s="63">
        <f t="shared" ref="F90:F112" si="13">E90+D90</f>
        <v>409446.00000000006</v>
      </c>
      <c r="G90" s="1072">
        <v>380880.00000000006</v>
      </c>
      <c r="H90" s="1072">
        <v>0</v>
      </c>
      <c r="I90" s="63">
        <f>(G90-H90)*'16-PlantAdditions'!$E$103</f>
        <v>28566.000000000004</v>
      </c>
      <c r="J90" s="63">
        <f t="shared" ref="J90:J108" si="14">J89+F90-G90-I90</f>
        <v>157682.98999999993</v>
      </c>
      <c r="K90" s="63">
        <f t="shared" ref="K90:K112" si="15">J90-$J$88</f>
        <v>0</v>
      </c>
    </row>
    <row r="91" spans="1:11" s="671" customFormat="1" ht="13">
      <c r="A91" s="109">
        <f t="shared" si="12"/>
        <v>58</v>
      </c>
      <c r="B91" s="634" t="s">
        <v>195</v>
      </c>
      <c r="C91" s="632">
        <v>2020</v>
      </c>
      <c r="D91" s="1072">
        <v>277026</v>
      </c>
      <c r="E91" s="63">
        <f>D91*'16-PlantAdditions'!$E$103</f>
        <v>20776.95</v>
      </c>
      <c r="F91" s="63">
        <f t="shared" si="13"/>
        <v>297802.95</v>
      </c>
      <c r="G91" s="1072">
        <v>277026</v>
      </c>
      <c r="H91" s="1072">
        <v>0</v>
      </c>
      <c r="I91" s="63">
        <f>(G91-H91)*'16-PlantAdditions'!$E$103</f>
        <v>20776.95</v>
      </c>
      <c r="J91" s="63">
        <f t="shared" si="14"/>
        <v>157682.98999999993</v>
      </c>
      <c r="K91" s="63">
        <f t="shared" si="15"/>
        <v>0</v>
      </c>
    </row>
    <row r="92" spans="1:11" s="671" customFormat="1" ht="13">
      <c r="A92" s="109">
        <f t="shared" si="12"/>
        <v>59</v>
      </c>
      <c r="B92" s="631" t="s">
        <v>183</v>
      </c>
      <c r="C92" s="632">
        <v>2020</v>
      </c>
      <c r="D92" s="1072">
        <v>47696</v>
      </c>
      <c r="E92" s="63">
        <f>D92*'16-PlantAdditions'!$E$103</f>
        <v>3577.2</v>
      </c>
      <c r="F92" s="63">
        <f t="shared" si="13"/>
        <v>51273.2</v>
      </c>
      <c r="G92" s="1072">
        <v>47696</v>
      </c>
      <c r="H92" s="1072">
        <v>0</v>
      </c>
      <c r="I92" s="63">
        <f>(G92-H92)*'16-PlantAdditions'!$E$103</f>
        <v>3577.2</v>
      </c>
      <c r="J92" s="63">
        <f t="shared" si="14"/>
        <v>157682.98999999993</v>
      </c>
      <c r="K92" s="63">
        <f t="shared" si="15"/>
        <v>0</v>
      </c>
    </row>
    <row r="93" spans="1:11" s="671" customFormat="1" ht="13">
      <c r="A93" s="109">
        <f t="shared" si="12"/>
        <v>60</v>
      </c>
      <c r="B93" s="634" t="s">
        <v>184</v>
      </c>
      <c r="C93" s="632">
        <v>2020</v>
      </c>
      <c r="D93" s="1072">
        <v>0</v>
      </c>
      <c r="E93" s="63">
        <f>D93*'16-PlantAdditions'!$E$103</f>
        <v>0</v>
      </c>
      <c r="F93" s="63">
        <f t="shared" si="13"/>
        <v>0</v>
      </c>
      <c r="G93" s="1072">
        <v>0</v>
      </c>
      <c r="H93" s="1072">
        <v>0</v>
      </c>
      <c r="I93" s="63">
        <f>(G93-H93)*'16-PlantAdditions'!$E$103</f>
        <v>0</v>
      </c>
      <c r="J93" s="63">
        <f t="shared" si="14"/>
        <v>157682.98999999993</v>
      </c>
      <c r="K93" s="63">
        <f t="shared" si="15"/>
        <v>0</v>
      </c>
    </row>
    <row r="94" spans="1:11" s="671" customFormat="1" ht="13">
      <c r="A94" s="109">
        <f t="shared" si="12"/>
        <v>61</v>
      </c>
      <c r="B94" s="634" t="s">
        <v>1464</v>
      </c>
      <c r="C94" s="632">
        <v>2020</v>
      </c>
      <c r="D94" s="1072">
        <v>0</v>
      </c>
      <c r="E94" s="63">
        <f>D94*'16-PlantAdditions'!$E$103</f>
        <v>0</v>
      </c>
      <c r="F94" s="63">
        <f t="shared" si="13"/>
        <v>0</v>
      </c>
      <c r="G94" s="1072">
        <v>157682.99</v>
      </c>
      <c r="H94" s="1072">
        <v>157682.99</v>
      </c>
      <c r="I94" s="63">
        <f>(G94-H94)*'16-PlantAdditions'!$E$103</f>
        <v>0</v>
      </c>
      <c r="J94" s="63">
        <f t="shared" si="14"/>
        <v>-5.8207660913467407E-11</v>
      </c>
      <c r="K94" s="63">
        <f t="shared" si="15"/>
        <v>-157682.99000000005</v>
      </c>
    </row>
    <row r="95" spans="1:11" s="671" customFormat="1" ht="13">
      <c r="A95" s="109">
        <f t="shared" si="12"/>
        <v>62</v>
      </c>
      <c r="B95" s="631" t="s">
        <v>186</v>
      </c>
      <c r="C95" s="632">
        <v>2020</v>
      </c>
      <c r="D95" s="1072">
        <v>0</v>
      </c>
      <c r="E95" s="63">
        <f>D95*'16-PlantAdditions'!$E$103</f>
        <v>0</v>
      </c>
      <c r="F95" s="63">
        <f t="shared" si="13"/>
        <v>0</v>
      </c>
      <c r="G95" s="1072">
        <v>0</v>
      </c>
      <c r="H95" s="1072">
        <v>0</v>
      </c>
      <c r="I95" s="63">
        <f>(G95-H95)*'16-PlantAdditions'!$E$103</f>
        <v>0</v>
      </c>
      <c r="J95" s="63">
        <f t="shared" si="14"/>
        <v>-5.8207660913467407E-11</v>
      </c>
      <c r="K95" s="63">
        <f t="shared" si="15"/>
        <v>-157682.99000000005</v>
      </c>
    </row>
    <row r="96" spans="1:11" s="671" customFormat="1" ht="13">
      <c r="A96" s="109">
        <f t="shared" si="12"/>
        <v>63</v>
      </c>
      <c r="B96" s="634" t="s">
        <v>187</v>
      </c>
      <c r="C96" s="632">
        <v>2020</v>
      </c>
      <c r="D96" s="1072">
        <v>0</v>
      </c>
      <c r="E96" s="63">
        <f>D96*'16-PlantAdditions'!$E$103</f>
        <v>0</v>
      </c>
      <c r="F96" s="63">
        <f t="shared" si="13"/>
        <v>0</v>
      </c>
      <c r="G96" s="1072">
        <v>0</v>
      </c>
      <c r="H96" s="1072">
        <v>0</v>
      </c>
      <c r="I96" s="63">
        <f>(G96-H96)*'16-PlantAdditions'!$E$103</f>
        <v>0</v>
      </c>
      <c r="J96" s="63">
        <f t="shared" si="14"/>
        <v>-5.8207660913467407E-11</v>
      </c>
      <c r="K96" s="63">
        <f t="shared" si="15"/>
        <v>-157682.99000000005</v>
      </c>
    </row>
    <row r="97" spans="1:11" s="671" customFormat="1" ht="13">
      <c r="A97" s="109">
        <f t="shared" si="12"/>
        <v>64</v>
      </c>
      <c r="B97" s="634" t="s">
        <v>188</v>
      </c>
      <c r="C97" s="632">
        <v>2020</v>
      </c>
      <c r="D97" s="1072">
        <v>0</v>
      </c>
      <c r="E97" s="63">
        <f>D97*'16-PlantAdditions'!$E$103</f>
        <v>0</v>
      </c>
      <c r="F97" s="63">
        <f t="shared" si="13"/>
        <v>0</v>
      </c>
      <c r="G97" s="1072">
        <v>0</v>
      </c>
      <c r="H97" s="1072">
        <v>0</v>
      </c>
      <c r="I97" s="63">
        <f>(G97-H97)*'16-PlantAdditions'!$E$103</f>
        <v>0</v>
      </c>
      <c r="J97" s="63">
        <f t="shared" si="14"/>
        <v>-5.8207660913467407E-11</v>
      </c>
      <c r="K97" s="63">
        <f t="shared" si="15"/>
        <v>-157682.99000000005</v>
      </c>
    </row>
    <row r="98" spans="1:11" s="671" customFormat="1" ht="13">
      <c r="A98" s="109">
        <f t="shared" si="12"/>
        <v>65</v>
      </c>
      <c r="B98" s="631" t="s">
        <v>191</v>
      </c>
      <c r="C98" s="632">
        <v>2020</v>
      </c>
      <c r="D98" s="1072">
        <v>0</v>
      </c>
      <c r="E98" s="63">
        <f>D98*'16-PlantAdditions'!$E$103</f>
        <v>0</v>
      </c>
      <c r="F98" s="63">
        <f t="shared" si="13"/>
        <v>0</v>
      </c>
      <c r="G98" s="1072">
        <v>0</v>
      </c>
      <c r="H98" s="1072">
        <v>0</v>
      </c>
      <c r="I98" s="63">
        <f>(G98-H98)*'16-PlantAdditions'!$E$103</f>
        <v>0</v>
      </c>
      <c r="J98" s="63">
        <f t="shared" si="14"/>
        <v>-5.8207660913467407E-11</v>
      </c>
      <c r="K98" s="63">
        <f t="shared" si="15"/>
        <v>-157682.99000000005</v>
      </c>
    </row>
    <row r="99" spans="1:11" s="671" customFormat="1" ht="13">
      <c r="A99" s="109">
        <f t="shared" si="12"/>
        <v>66</v>
      </c>
      <c r="B99" s="631" t="s">
        <v>190</v>
      </c>
      <c r="C99" s="632">
        <v>2020</v>
      </c>
      <c r="D99" s="1072">
        <v>0</v>
      </c>
      <c r="E99" s="63">
        <f>D99*'16-PlantAdditions'!$E$103</f>
        <v>0</v>
      </c>
      <c r="F99" s="63">
        <f t="shared" si="13"/>
        <v>0</v>
      </c>
      <c r="G99" s="1072">
        <v>0</v>
      </c>
      <c r="H99" s="1072">
        <v>0</v>
      </c>
      <c r="I99" s="63">
        <f>(G99-H99)*'16-PlantAdditions'!$E$103</f>
        <v>0</v>
      </c>
      <c r="J99" s="63">
        <f t="shared" si="14"/>
        <v>-5.8207660913467407E-11</v>
      </c>
      <c r="K99" s="63">
        <f t="shared" si="15"/>
        <v>-157682.99000000005</v>
      </c>
    </row>
    <row r="100" spans="1:11" s="671" customFormat="1" ht="13">
      <c r="A100" s="109">
        <f t="shared" si="12"/>
        <v>67</v>
      </c>
      <c r="B100" s="631" t="s">
        <v>180</v>
      </c>
      <c r="C100" s="632">
        <v>2020</v>
      </c>
      <c r="D100" s="1072">
        <v>287364</v>
      </c>
      <c r="E100" s="63">
        <f>D100*'16-PlantAdditions'!$E$103</f>
        <v>21552.3</v>
      </c>
      <c r="F100" s="63">
        <f t="shared" si="13"/>
        <v>308916.3</v>
      </c>
      <c r="G100" s="1072">
        <v>287364</v>
      </c>
      <c r="H100" s="1072">
        <v>0</v>
      </c>
      <c r="I100" s="63">
        <f>(G100-H100)*'16-PlantAdditions'!$E$103</f>
        <v>21552.3</v>
      </c>
      <c r="J100" s="63">
        <f t="shared" si="14"/>
        <v>-6.9121597334742546E-11</v>
      </c>
      <c r="K100" s="63">
        <f t="shared" si="15"/>
        <v>-157682.99000000005</v>
      </c>
    </row>
    <row r="101" spans="1:11" s="671" customFormat="1" ht="13">
      <c r="A101" s="109">
        <f t="shared" si="12"/>
        <v>68</v>
      </c>
      <c r="B101" s="631" t="s">
        <v>181</v>
      </c>
      <c r="C101" s="632">
        <v>2021</v>
      </c>
      <c r="D101" s="1072">
        <v>0</v>
      </c>
      <c r="E101" s="63">
        <f>D101*'16-PlantAdditions'!$E$103</f>
        <v>0</v>
      </c>
      <c r="F101" s="63">
        <f t="shared" si="13"/>
        <v>0</v>
      </c>
      <c r="G101" s="1072">
        <v>0</v>
      </c>
      <c r="H101" s="1072">
        <v>0</v>
      </c>
      <c r="I101" s="63">
        <f>(G101-H101)*'16-PlantAdditions'!$E$103</f>
        <v>0</v>
      </c>
      <c r="J101" s="63">
        <f t="shared" si="14"/>
        <v>-6.9121597334742546E-11</v>
      </c>
      <c r="K101" s="63">
        <f t="shared" si="15"/>
        <v>-157682.99000000005</v>
      </c>
    </row>
    <row r="102" spans="1:11" s="671" customFormat="1" ht="13">
      <c r="A102" s="109">
        <f t="shared" si="12"/>
        <v>69</v>
      </c>
      <c r="B102" s="634" t="s">
        <v>182</v>
      </c>
      <c r="C102" s="632">
        <v>2021</v>
      </c>
      <c r="D102" s="1072">
        <v>0</v>
      </c>
      <c r="E102" s="63">
        <f>D102*'16-PlantAdditions'!$E$103</f>
        <v>0</v>
      </c>
      <c r="F102" s="63">
        <f t="shared" si="13"/>
        <v>0</v>
      </c>
      <c r="G102" s="1072">
        <v>0</v>
      </c>
      <c r="H102" s="1072">
        <v>0</v>
      </c>
      <c r="I102" s="63">
        <f>(G102-H102)*'16-PlantAdditions'!$E$103</f>
        <v>0</v>
      </c>
      <c r="J102" s="63">
        <f t="shared" si="14"/>
        <v>-6.9121597334742546E-11</v>
      </c>
      <c r="K102" s="63">
        <f t="shared" si="15"/>
        <v>-157682.99000000005</v>
      </c>
    </row>
    <row r="103" spans="1:11" s="671" customFormat="1" ht="13">
      <c r="A103" s="109">
        <f t="shared" si="12"/>
        <v>70</v>
      </c>
      <c r="B103" s="634" t="s">
        <v>195</v>
      </c>
      <c r="C103" s="632">
        <v>2021</v>
      </c>
      <c r="D103" s="1072">
        <v>0</v>
      </c>
      <c r="E103" s="63">
        <f>D103*'16-PlantAdditions'!$E$103</f>
        <v>0</v>
      </c>
      <c r="F103" s="63">
        <f t="shared" si="13"/>
        <v>0</v>
      </c>
      <c r="G103" s="1072">
        <v>0</v>
      </c>
      <c r="H103" s="1072">
        <v>0</v>
      </c>
      <c r="I103" s="63">
        <f>(G103-H103)*'16-PlantAdditions'!$E$103</f>
        <v>0</v>
      </c>
      <c r="J103" s="63">
        <f t="shared" si="14"/>
        <v>-6.9121597334742546E-11</v>
      </c>
      <c r="K103" s="63">
        <f t="shared" si="15"/>
        <v>-157682.99000000005</v>
      </c>
    </row>
    <row r="104" spans="1:11" s="671" customFormat="1" ht="13">
      <c r="A104" s="109">
        <f t="shared" si="12"/>
        <v>71</v>
      </c>
      <c r="B104" s="631" t="s">
        <v>183</v>
      </c>
      <c r="C104" s="632">
        <v>2021</v>
      </c>
      <c r="D104" s="1072">
        <v>0</v>
      </c>
      <c r="E104" s="63">
        <f>D104*'16-PlantAdditions'!$E$103</f>
        <v>0</v>
      </c>
      <c r="F104" s="63">
        <f t="shared" si="13"/>
        <v>0</v>
      </c>
      <c r="G104" s="1072">
        <v>0</v>
      </c>
      <c r="H104" s="1072">
        <v>0</v>
      </c>
      <c r="I104" s="63">
        <f>(G104-H104)*'16-PlantAdditions'!$E$103</f>
        <v>0</v>
      </c>
      <c r="J104" s="63">
        <f t="shared" si="14"/>
        <v>-6.9121597334742546E-11</v>
      </c>
      <c r="K104" s="63">
        <f t="shared" si="15"/>
        <v>-157682.99000000005</v>
      </c>
    </row>
    <row r="105" spans="1:11" s="671" customFormat="1" ht="13">
      <c r="A105" s="109">
        <f t="shared" si="12"/>
        <v>72</v>
      </c>
      <c r="B105" s="634" t="s">
        <v>184</v>
      </c>
      <c r="C105" s="632">
        <v>2021</v>
      </c>
      <c r="D105" s="1072">
        <v>0</v>
      </c>
      <c r="E105" s="63">
        <f>D105*'16-PlantAdditions'!$E$103</f>
        <v>0</v>
      </c>
      <c r="F105" s="63">
        <f t="shared" si="13"/>
        <v>0</v>
      </c>
      <c r="G105" s="1072">
        <v>0</v>
      </c>
      <c r="H105" s="1072">
        <v>0</v>
      </c>
      <c r="I105" s="63">
        <f>(G105-H105)*'16-PlantAdditions'!$E$103</f>
        <v>0</v>
      </c>
      <c r="J105" s="63">
        <f t="shared" si="14"/>
        <v>-6.9121597334742546E-11</v>
      </c>
      <c r="K105" s="63">
        <f t="shared" si="15"/>
        <v>-157682.99000000005</v>
      </c>
    </row>
    <row r="106" spans="1:11" s="671" customFormat="1" ht="13">
      <c r="A106" s="109">
        <f t="shared" si="12"/>
        <v>73</v>
      </c>
      <c r="B106" s="634" t="s">
        <v>1464</v>
      </c>
      <c r="C106" s="632">
        <v>2021</v>
      </c>
      <c r="D106" s="1072">
        <v>0</v>
      </c>
      <c r="E106" s="63">
        <f>D106*'16-PlantAdditions'!$E$103</f>
        <v>0</v>
      </c>
      <c r="F106" s="63">
        <f t="shared" si="13"/>
        <v>0</v>
      </c>
      <c r="G106" s="1072">
        <v>0</v>
      </c>
      <c r="H106" s="1072">
        <v>0</v>
      </c>
      <c r="I106" s="63">
        <f>(G106-H106)*'16-PlantAdditions'!$E$103</f>
        <v>0</v>
      </c>
      <c r="J106" s="63">
        <f t="shared" si="14"/>
        <v>-6.9121597334742546E-11</v>
      </c>
      <c r="K106" s="63">
        <f t="shared" si="15"/>
        <v>-157682.99000000005</v>
      </c>
    </row>
    <row r="107" spans="1:11" s="671" customFormat="1" ht="13">
      <c r="A107" s="109">
        <f t="shared" si="12"/>
        <v>74</v>
      </c>
      <c r="B107" s="631" t="s">
        <v>186</v>
      </c>
      <c r="C107" s="632">
        <v>2021</v>
      </c>
      <c r="D107" s="1072">
        <v>0</v>
      </c>
      <c r="E107" s="63">
        <f>D107*'16-PlantAdditions'!$E$103</f>
        <v>0</v>
      </c>
      <c r="F107" s="63">
        <f t="shared" si="13"/>
        <v>0</v>
      </c>
      <c r="G107" s="1072">
        <v>0</v>
      </c>
      <c r="H107" s="1072">
        <v>0</v>
      </c>
      <c r="I107" s="63">
        <f>(G107-H107)*'16-PlantAdditions'!$E$103</f>
        <v>0</v>
      </c>
      <c r="J107" s="63">
        <f t="shared" si="14"/>
        <v>-6.9121597334742546E-11</v>
      </c>
      <c r="K107" s="63">
        <f t="shared" si="15"/>
        <v>-157682.99000000005</v>
      </c>
    </row>
    <row r="108" spans="1:11" s="671" customFormat="1" ht="13">
      <c r="A108" s="109">
        <f t="shared" si="12"/>
        <v>75</v>
      </c>
      <c r="B108" s="634" t="s">
        <v>187</v>
      </c>
      <c r="C108" s="632">
        <v>2021</v>
      </c>
      <c r="D108" s="1072">
        <v>0</v>
      </c>
      <c r="E108" s="63">
        <f>D108*'16-PlantAdditions'!$E$103</f>
        <v>0</v>
      </c>
      <c r="F108" s="63">
        <f t="shared" si="13"/>
        <v>0</v>
      </c>
      <c r="G108" s="1072">
        <v>0</v>
      </c>
      <c r="H108" s="1072">
        <v>0</v>
      </c>
      <c r="I108" s="63">
        <f>(G108-H108)*'16-PlantAdditions'!$E$103</f>
        <v>0</v>
      </c>
      <c r="J108" s="63">
        <f t="shared" si="14"/>
        <v>-6.9121597334742546E-11</v>
      </c>
      <c r="K108" s="63">
        <f t="shared" si="15"/>
        <v>-157682.99000000005</v>
      </c>
    </row>
    <row r="109" spans="1:11" s="671" customFormat="1" ht="13">
      <c r="A109" s="109">
        <f>A108+1</f>
        <v>76</v>
      </c>
      <c r="B109" s="634" t="s">
        <v>188</v>
      </c>
      <c r="C109" s="632">
        <v>2021</v>
      </c>
      <c r="D109" s="1072">
        <v>0</v>
      </c>
      <c r="E109" s="63">
        <f>D109*'16-PlantAdditions'!$E$103</f>
        <v>0</v>
      </c>
      <c r="F109" s="63">
        <f t="shared" si="13"/>
        <v>0</v>
      </c>
      <c r="G109" s="1072">
        <v>0</v>
      </c>
      <c r="H109" s="1072">
        <v>0</v>
      </c>
      <c r="I109" s="63">
        <f>(G109-H109)*'16-PlantAdditions'!$E$103</f>
        <v>0</v>
      </c>
      <c r="J109" s="63">
        <f>J108+F109-G109-I109</f>
        <v>-6.9121597334742546E-11</v>
      </c>
      <c r="K109" s="63">
        <f t="shared" si="15"/>
        <v>-157682.99000000005</v>
      </c>
    </row>
    <row r="110" spans="1:11" s="671" customFormat="1" ht="13">
      <c r="A110" s="109">
        <f>A109+1</f>
        <v>77</v>
      </c>
      <c r="B110" s="634" t="s">
        <v>191</v>
      </c>
      <c r="C110" s="632">
        <v>2021</v>
      </c>
      <c r="D110" s="1072">
        <v>0</v>
      </c>
      <c r="E110" s="63">
        <f>D110*'16-PlantAdditions'!$E$103</f>
        <v>0</v>
      </c>
      <c r="F110" s="63">
        <f t="shared" si="13"/>
        <v>0</v>
      </c>
      <c r="G110" s="1072">
        <v>0</v>
      </c>
      <c r="H110" s="1072">
        <v>0</v>
      </c>
      <c r="I110" s="63">
        <f>(G110-H110)*'16-PlantAdditions'!$E$103</f>
        <v>0</v>
      </c>
      <c r="J110" s="63">
        <f>J109+F110-G110-I110</f>
        <v>-6.9121597334742546E-11</v>
      </c>
      <c r="K110" s="63">
        <f t="shared" si="15"/>
        <v>-157682.99000000005</v>
      </c>
    </row>
    <row r="111" spans="1:11" s="671" customFormat="1" ht="13">
      <c r="A111" s="109">
        <f>A110+1</f>
        <v>78</v>
      </c>
      <c r="B111" s="634" t="s">
        <v>190</v>
      </c>
      <c r="C111" s="632">
        <v>2021</v>
      </c>
      <c r="D111" s="1072">
        <v>0</v>
      </c>
      <c r="E111" s="63">
        <f>D111*'16-PlantAdditions'!$E$103</f>
        <v>0</v>
      </c>
      <c r="F111" s="63">
        <f t="shared" si="13"/>
        <v>0</v>
      </c>
      <c r="G111" s="1072">
        <v>0</v>
      </c>
      <c r="H111" s="1072">
        <v>0</v>
      </c>
      <c r="I111" s="63">
        <f>(G111-H111)*'16-PlantAdditions'!$E$103</f>
        <v>0</v>
      </c>
      <c r="J111" s="63">
        <f>J110+F111-G111-I111</f>
        <v>-6.9121597334742546E-11</v>
      </c>
      <c r="K111" s="63">
        <f t="shared" si="15"/>
        <v>-157682.99000000005</v>
      </c>
    </row>
    <row r="112" spans="1:11" s="671" customFormat="1" ht="13">
      <c r="A112" s="109">
        <f>A111+1</f>
        <v>79</v>
      </c>
      <c r="B112" s="634" t="s">
        <v>180</v>
      </c>
      <c r="C112" s="632">
        <v>2021</v>
      </c>
      <c r="D112" s="1072">
        <v>0</v>
      </c>
      <c r="E112" s="63">
        <f>D112*'16-PlantAdditions'!$E$103</f>
        <v>0</v>
      </c>
      <c r="F112" s="63">
        <f t="shared" si="13"/>
        <v>0</v>
      </c>
      <c r="G112" s="1072">
        <v>0</v>
      </c>
      <c r="H112" s="1072">
        <v>0</v>
      </c>
      <c r="I112" s="63">
        <f>(G112-H112)*'16-PlantAdditions'!$E$103</f>
        <v>0</v>
      </c>
      <c r="J112" s="63">
        <f>J111+F112-G112-I112</f>
        <v>-6.9121597334742546E-11</v>
      </c>
      <c r="K112" s="110">
        <f t="shared" si="15"/>
        <v>-157682.99000000005</v>
      </c>
    </row>
    <row r="113" spans="1:11" s="671" customFormat="1" ht="13">
      <c r="A113" s="109">
        <f>A112+1</f>
        <v>80</v>
      </c>
      <c r="B113"/>
      <c r="C113" s="670" t="s">
        <v>1614</v>
      </c>
      <c r="D113"/>
      <c r="E113"/>
      <c r="F113"/>
      <c r="G113"/>
      <c r="H113"/>
      <c r="I113"/>
      <c r="J113"/>
      <c r="K113" s="73">
        <f>AVERAGE(K100:K112)</f>
        <v>-157682.99000000002</v>
      </c>
    </row>
    <row r="114" spans="1:11" s="671" customFormat="1" ht="13">
      <c r="A114" s="109"/>
      <c r="B114"/>
      <c r="C114" s="670"/>
      <c r="D114"/>
      <c r="E114"/>
      <c r="F114"/>
      <c r="G114"/>
      <c r="H114"/>
      <c r="I114"/>
      <c r="J114"/>
      <c r="K114" s="73"/>
    </row>
    <row r="115" spans="1:11" s="671" customFormat="1" ht="13">
      <c r="B115" s="672" t="s">
        <v>1940</v>
      </c>
      <c r="D115" s="1396" t="s">
        <v>2798</v>
      </c>
      <c r="E115" s="1396"/>
    </row>
    <row r="116" spans="1:11" s="671" customFormat="1" ht="13">
      <c r="A116" s="666"/>
      <c r="B116" s="666"/>
      <c r="C116" s="666"/>
      <c r="D116" s="666" t="s">
        <v>359</v>
      </c>
      <c r="E116" s="666" t="s">
        <v>343</v>
      </c>
      <c r="F116" s="666" t="s">
        <v>344</v>
      </c>
      <c r="G116" s="666" t="s">
        <v>345</v>
      </c>
      <c r="H116" s="666" t="s">
        <v>346</v>
      </c>
      <c r="I116" s="666" t="s">
        <v>347</v>
      </c>
      <c r="J116" s="666" t="s">
        <v>348</v>
      </c>
      <c r="K116" s="666" t="s">
        <v>537</v>
      </c>
    </row>
    <row r="117" spans="1:11" s="671" customFormat="1" ht="25.5">
      <c r="D117" s="673"/>
      <c r="E117" s="674" t="s">
        <v>2069</v>
      </c>
      <c r="F117" s="675" t="s">
        <v>1937</v>
      </c>
      <c r="G117" s="485"/>
      <c r="H117" s="673"/>
      <c r="I117" s="674" t="s">
        <v>2070</v>
      </c>
      <c r="J117" s="674" t="s">
        <v>1938</v>
      </c>
      <c r="K117" s="674" t="s">
        <v>1939</v>
      </c>
    </row>
    <row r="118" spans="1:11" s="671" customFormat="1" ht="13">
      <c r="D118" s="673"/>
      <c r="E118" s="673"/>
      <c r="F118" s="673"/>
      <c r="G118" s="572" t="str">
        <f>G51</f>
        <v>Unloaded</v>
      </c>
      <c r="H118" s="673"/>
      <c r="I118" s="673"/>
    </row>
    <row r="119" spans="1:11" s="671" customFormat="1" ht="13">
      <c r="A119" s="668"/>
      <c r="B119" s="668"/>
      <c r="C119" s="668"/>
      <c r="D119" s="668" t="str">
        <f>D$52</f>
        <v>Forecast</v>
      </c>
      <c r="E119" s="668" t="str">
        <f t="shared" ref="E119:J119" si="16">E$52</f>
        <v>Corporate</v>
      </c>
      <c r="F119" s="668" t="str">
        <f t="shared" si="16"/>
        <v xml:space="preserve">Total </v>
      </c>
      <c r="G119" s="572" t="str">
        <f>G52</f>
        <v>Total</v>
      </c>
      <c r="H119" s="668" t="str">
        <f t="shared" si="16"/>
        <v>Prior Period</v>
      </c>
      <c r="I119" s="668" t="str">
        <f t="shared" si="16"/>
        <v>Over Heads</v>
      </c>
      <c r="J119" s="668" t="str">
        <f t="shared" si="16"/>
        <v>Forecast</v>
      </c>
      <c r="K119" s="572" t="str">
        <f>K$52</f>
        <v>Forecast Period</v>
      </c>
    </row>
    <row r="120" spans="1:11" s="671" customFormat="1" ht="13">
      <c r="A120" s="910" t="s">
        <v>330</v>
      </c>
      <c r="B120" s="630" t="s">
        <v>192</v>
      </c>
      <c r="C120" s="630" t="s">
        <v>193</v>
      </c>
      <c r="D120" s="666" t="str">
        <f>D$53</f>
        <v>Expenditures</v>
      </c>
      <c r="E120" s="666" t="str">
        <f t="shared" ref="E120:J120" si="17">E$53</f>
        <v>Overheads</v>
      </c>
      <c r="F120" s="666" t="str">
        <f t="shared" si="17"/>
        <v>CWIP Exp</v>
      </c>
      <c r="G120" s="3" t="str">
        <f>G53</f>
        <v>Plant Adds</v>
      </c>
      <c r="H120" s="666" t="str">
        <f t="shared" si="17"/>
        <v>CWIP Closed</v>
      </c>
      <c r="I120" s="666" t="str">
        <f t="shared" si="17"/>
        <v>Closed to PIS</v>
      </c>
      <c r="J120" s="666" t="str">
        <f t="shared" si="17"/>
        <v>Period CWIP</v>
      </c>
      <c r="K120" s="666" t="str">
        <f>K$53</f>
        <v>Incremental CWIP</v>
      </c>
    </row>
    <row r="121" spans="1:11" s="671" customFormat="1" ht="13">
      <c r="A121" s="109">
        <f>A113+1</f>
        <v>81</v>
      </c>
      <c r="B121" s="631" t="s">
        <v>180</v>
      </c>
      <c r="C121" s="632">
        <v>2019</v>
      </c>
      <c r="D121" s="675" t="s">
        <v>76</v>
      </c>
      <c r="E121" s="675" t="s">
        <v>76</v>
      </c>
      <c r="F121" s="675" t="s">
        <v>76</v>
      </c>
      <c r="G121" s="675" t="s">
        <v>76</v>
      </c>
      <c r="H121" s="675" t="s">
        <v>76</v>
      </c>
      <c r="I121" s="675" t="s">
        <v>76</v>
      </c>
      <c r="J121" s="63">
        <f>F25</f>
        <v>0</v>
      </c>
      <c r="K121" s="675" t="s">
        <v>76</v>
      </c>
    </row>
    <row r="122" spans="1:11" s="671" customFormat="1" ht="13">
      <c r="A122" s="109">
        <f>A121+1</f>
        <v>82</v>
      </c>
      <c r="B122" s="631" t="s">
        <v>181</v>
      </c>
      <c r="C122" s="632">
        <v>2020</v>
      </c>
      <c r="D122" s="1072">
        <v>0</v>
      </c>
      <c r="E122" s="63">
        <f>D122*'16-PlantAdditions'!$E$103</f>
        <v>0</v>
      </c>
      <c r="F122" s="63">
        <f>E122+D122</f>
        <v>0</v>
      </c>
      <c r="G122" s="1072">
        <v>0</v>
      </c>
      <c r="H122" s="1072">
        <v>0</v>
      </c>
      <c r="I122" s="63">
        <f>(G122-H122)*'16-PlantAdditions'!$E$103</f>
        <v>0</v>
      </c>
      <c r="J122" s="63">
        <f>J121+F122-G122-I122</f>
        <v>0</v>
      </c>
      <c r="K122" s="490">
        <f>J122-$J$121</f>
        <v>0</v>
      </c>
    </row>
    <row r="123" spans="1:11" s="671" customFormat="1" ht="13">
      <c r="A123" s="109">
        <f t="shared" ref="A123:A146" si="18">A122+1</f>
        <v>83</v>
      </c>
      <c r="B123" s="634" t="s">
        <v>182</v>
      </c>
      <c r="C123" s="632">
        <v>2020</v>
      </c>
      <c r="D123" s="1072">
        <v>0</v>
      </c>
      <c r="E123" s="63">
        <f>D123*'16-PlantAdditions'!$E$103</f>
        <v>0</v>
      </c>
      <c r="F123" s="63">
        <f t="shared" ref="F123:F145" si="19">E123+D123</f>
        <v>0</v>
      </c>
      <c r="G123" s="1072">
        <v>0</v>
      </c>
      <c r="H123" s="1072">
        <v>0</v>
      </c>
      <c r="I123" s="63">
        <f>(G123-H123)*'16-PlantAdditions'!$E$103</f>
        <v>0</v>
      </c>
      <c r="J123" s="63">
        <f t="shared" ref="J123:J145" si="20">J122+F123-G123-I123</f>
        <v>0</v>
      </c>
      <c r="K123" s="490">
        <f t="shared" ref="K123:K145" si="21">J123-$J$121</f>
        <v>0</v>
      </c>
    </row>
    <row r="124" spans="1:11" s="671" customFormat="1" ht="13">
      <c r="A124" s="109">
        <f t="shared" si="18"/>
        <v>84</v>
      </c>
      <c r="B124" s="634" t="s">
        <v>195</v>
      </c>
      <c r="C124" s="632">
        <v>2020</v>
      </c>
      <c r="D124" s="1072">
        <v>0</v>
      </c>
      <c r="E124" s="63">
        <f>D124*'16-PlantAdditions'!$E$103</f>
        <v>0</v>
      </c>
      <c r="F124" s="63">
        <f t="shared" si="19"/>
        <v>0</v>
      </c>
      <c r="G124" s="1072">
        <v>0</v>
      </c>
      <c r="H124" s="1072">
        <v>0</v>
      </c>
      <c r="I124" s="63">
        <f>(G124-H124)*'16-PlantAdditions'!$E$103</f>
        <v>0</v>
      </c>
      <c r="J124" s="63">
        <f t="shared" si="20"/>
        <v>0</v>
      </c>
      <c r="K124" s="490">
        <f t="shared" si="21"/>
        <v>0</v>
      </c>
    </row>
    <row r="125" spans="1:11" s="671" customFormat="1" ht="13">
      <c r="A125" s="109">
        <f t="shared" si="18"/>
        <v>85</v>
      </c>
      <c r="B125" s="631" t="s">
        <v>183</v>
      </c>
      <c r="C125" s="632">
        <v>2020</v>
      </c>
      <c r="D125" s="1072">
        <v>0</v>
      </c>
      <c r="E125" s="63">
        <f>D125*'16-PlantAdditions'!$E$103</f>
        <v>0</v>
      </c>
      <c r="F125" s="63">
        <f t="shared" si="19"/>
        <v>0</v>
      </c>
      <c r="G125" s="1072">
        <v>0</v>
      </c>
      <c r="H125" s="1072">
        <v>0</v>
      </c>
      <c r="I125" s="63">
        <f>(G125-H125)*'16-PlantAdditions'!$E$103</f>
        <v>0</v>
      </c>
      <c r="J125" s="63">
        <f t="shared" si="20"/>
        <v>0</v>
      </c>
      <c r="K125" s="490">
        <f t="shared" si="21"/>
        <v>0</v>
      </c>
    </row>
    <row r="126" spans="1:11" s="671" customFormat="1" ht="13">
      <c r="A126" s="109">
        <f t="shared" si="18"/>
        <v>86</v>
      </c>
      <c r="B126" s="634" t="s">
        <v>184</v>
      </c>
      <c r="C126" s="632">
        <v>2020</v>
      </c>
      <c r="D126" s="1072">
        <v>0</v>
      </c>
      <c r="E126" s="63">
        <f>D126*'16-PlantAdditions'!$E$103</f>
        <v>0</v>
      </c>
      <c r="F126" s="63">
        <f t="shared" si="19"/>
        <v>0</v>
      </c>
      <c r="G126" s="1072">
        <v>0</v>
      </c>
      <c r="H126" s="1072">
        <v>0</v>
      </c>
      <c r="I126" s="63">
        <f>(G126-H126)*'16-PlantAdditions'!$E$103</f>
        <v>0</v>
      </c>
      <c r="J126" s="63">
        <f t="shared" si="20"/>
        <v>0</v>
      </c>
      <c r="K126" s="490">
        <f t="shared" si="21"/>
        <v>0</v>
      </c>
    </row>
    <row r="127" spans="1:11" s="671" customFormat="1" ht="13">
      <c r="A127" s="109">
        <f t="shared" si="18"/>
        <v>87</v>
      </c>
      <c r="B127" s="634" t="s">
        <v>1464</v>
      </c>
      <c r="C127" s="632">
        <v>2020</v>
      </c>
      <c r="D127" s="1072">
        <v>0</v>
      </c>
      <c r="E127" s="63">
        <f>D127*'16-PlantAdditions'!$E$103</f>
        <v>0</v>
      </c>
      <c r="F127" s="63">
        <f t="shared" si="19"/>
        <v>0</v>
      </c>
      <c r="G127" s="1072">
        <v>0</v>
      </c>
      <c r="H127" s="1072">
        <v>0</v>
      </c>
      <c r="I127" s="63">
        <f>(G127-H127)*'16-PlantAdditions'!$E$103</f>
        <v>0</v>
      </c>
      <c r="J127" s="63">
        <f t="shared" si="20"/>
        <v>0</v>
      </c>
      <c r="K127" s="490">
        <f t="shared" si="21"/>
        <v>0</v>
      </c>
    </row>
    <row r="128" spans="1:11" s="671" customFormat="1" ht="13">
      <c r="A128" s="109">
        <f t="shared" si="18"/>
        <v>88</v>
      </c>
      <c r="B128" s="631" t="s">
        <v>186</v>
      </c>
      <c r="C128" s="632">
        <v>2020</v>
      </c>
      <c r="D128" s="1072">
        <v>0</v>
      </c>
      <c r="E128" s="63">
        <f>D128*'16-PlantAdditions'!$E$103</f>
        <v>0</v>
      </c>
      <c r="F128" s="63">
        <f t="shared" si="19"/>
        <v>0</v>
      </c>
      <c r="G128" s="1072">
        <v>0</v>
      </c>
      <c r="H128" s="1072">
        <v>0</v>
      </c>
      <c r="I128" s="63">
        <f>(G128-H128)*'16-PlantAdditions'!$E$103</f>
        <v>0</v>
      </c>
      <c r="J128" s="63">
        <f t="shared" si="20"/>
        <v>0</v>
      </c>
      <c r="K128" s="490">
        <f t="shared" si="21"/>
        <v>0</v>
      </c>
    </row>
    <row r="129" spans="1:11" s="671" customFormat="1" ht="13">
      <c r="A129" s="109">
        <f t="shared" si="18"/>
        <v>89</v>
      </c>
      <c r="B129" s="634" t="s">
        <v>187</v>
      </c>
      <c r="C129" s="632">
        <v>2020</v>
      </c>
      <c r="D129" s="1072">
        <v>0</v>
      </c>
      <c r="E129" s="63">
        <f>D129*'16-PlantAdditions'!$E$103</f>
        <v>0</v>
      </c>
      <c r="F129" s="63">
        <f t="shared" si="19"/>
        <v>0</v>
      </c>
      <c r="G129" s="1072">
        <v>0</v>
      </c>
      <c r="H129" s="1072">
        <v>0</v>
      </c>
      <c r="I129" s="63">
        <f>(G129-H129)*'16-PlantAdditions'!$E$103</f>
        <v>0</v>
      </c>
      <c r="J129" s="63">
        <f t="shared" si="20"/>
        <v>0</v>
      </c>
      <c r="K129" s="490">
        <f t="shared" si="21"/>
        <v>0</v>
      </c>
    </row>
    <row r="130" spans="1:11" s="671" customFormat="1" ht="13">
      <c r="A130" s="109">
        <f t="shared" si="18"/>
        <v>90</v>
      </c>
      <c r="B130" s="634" t="s">
        <v>188</v>
      </c>
      <c r="C130" s="632">
        <v>2020</v>
      </c>
      <c r="D130" s="1072">
        <v>0</v>
      </c>
      <c r="E130" s="63">
        <f>D130*'16-PlantAdditions'!$E$103</f>
        <v>0</v>
      </c>
      <c r="F130" s="63">
        <f t="shared" si="19"/>
        <v>0</v>
      </c>
      <c r="G130" s="1072">
        <v>0</v>
      </c>
      <c r="H130" s="1072">
        <v>0</v>
      </c>
      <c r="I130" s="63">
        <f>(G130-H130)*'16-PlantAdditions'!$E$103</f>
        <v>0</v>
      </c>
      <c r="J130" s="63">
        <f t="shared" si="20"/>
        <v>0</v>
      </c>
      <c r="K130" s="490">
        <f t="shared" si="21"/>
        <v>0</v>
      </c>
    </row>
    <row r="131" spans="1:11" s="671" customFormat="1" ht="13">
      <c r="A131" s="109">
        <f t="shared" si="18"/>
        <v>91</v>
      </c>
      <c r="B131" s="631" t="s">
        <v>191</v>
      </c>
      <c r="C131" s="632">
        <v>2020</v>
      </c>
      <c r="D131" s="1072">
        <v>0</v>
      </c>
      <c r="E131" s="63">
        <f>D131*'16-PlantAdditions'!$E$103</f>
        <v>0</v>
      </c>
      <c r="F131" s="63">
        <f t="shared" si="19"/>
        <v>0</v>
      </c>
      <c r="G131" s="1072">
        <v>0</v>
      </c>
      <c r="H131" s="1072">
        <v>0</v>
      </c>
      <c r="I131" s="63">
        <f>(G131-H131)*'16-PlantAdditions'!$E$103</f>
        <v>0</v>
      </c>
      <c r="J131" s="63">
        <f t="shared" si="20"/>
        <v>0</v>
      </c>
      <c r="K131" s="490">
        <f t="shared" si="21"/>
        <v>0</v>
      </c>
    </row>
    <row r="132" spans="1:11" s="671" customFormat="1" ht="13">
      <c r="A132" s="109">
        <f t="shared" si="18"/>
        <v>92</v>
      </c>
      <c r="B132" s="631" t="s">
        <v>190</v>
      </c>
      <c r="C132" s="632">
        <v>2020</v>
      </c>
      <c r="D132" s="1072">
        <v>0</v>
      </c>
      <c r="E132" s="63">
        <f>D132*'16-PlantAdditions'!$E$103</f>
        <v>0</v>
      </c>
      <c r="F132" s="63">
        <f t="shared" si="19"/>
        <v>0</v>
      </c>
      <c r="G132" s="1072">
        <v>0</v>
      </c>
      <c r="H132" s="1072">
        <v>0</v>
      </c>
      <c r="I132" s="63">
        <f>(G132-H132)*'16-PlantAdditions'!$E$103</f>
        <v>0</v>
      </c>
      <c r="J132" s="63">
        <f t="shared" si="20"/>
        <v>0</v>
      </c>
      <c r="K132" s="490">
        <f t="shared" si="21"/>
        <v>0</v>
      </c>
    </row>
    <row r="133" spans="1:11" s="671" customFormat="1" ht="13">
      <c r="A133" s="109">
        <f t="shared" si="18"/>
        <v>93</v>
      </c>
      <c r="B133" s="631" t="s">
        <v>180</v>
      </c>
      <c r="C133" s="632">
        <v>2020</v>
      </c>
      <c r="D133" s="1072">
        <v>0</v>
      </c>
      <c r="E133" s="63">
        <f>D133*'16-PlantAdditions'!$E$103</f>
        <v>0</v>
      </c>
      <c r="F133" s="63">
        <f t="shared" si="19"/>
        <v>0</v>
      </c>
      <c r="G133" s="1072">
        <v>0</v>
      </c>
      <c r="H133" s="1072">
        <v>0</v>
      </c>
      <c r="I133" s="63">
        <f>(G133-H133)*'16-PlantAdditions'!$E$103</f>
        <v>0</v>
      </c>
      <c r="J133" s="63">
        <f t="shared" si="20"/>
        <v>0</v>
      </c>
      <c r="K133" s="490">
        <f t="shared" si="21"/>
        <v>0</v>
      </c>
    </row>
    <row r="134" spans="1:11" s="671" customFormat="1" ht="13">
      <c r="A134" s="109">
        <f t="shared" si="18"/>
        <v>94</v>
      </c>
      <c r="B134" s="631" t="s">
        <v>181</v>
      </c>
      <c r="C134" s="632">
        <v>2021</v>
      </c>
      <c r="D134" s="1072">
        <v>0</v>
      </c>
      <c r="E134" s="63">
        <f>D134*'16-PlantAdditions'!$E$103</f>
        <v>0</v>
      </c>
      <c r="F134" s="63">
        <f t="shared" si="19"/>
        <v>0</v>
      </c>
      <c r="G134" s="1072">
        <v>0</v>
      </c>
      <c r="H134" s="1072">
        <v>0</v>
      </c>
      <c r="I134" s="63">
        <f>(G134-H134)*'16-PlantAdditions'!$E$103</f>
        <v>0</v>
      </c>
      <c r="J134" s="63">
        <f t="shared" si="20"/>
        <v>0</v>
      </c>
      <c r="K134" s="490">
        <f t="shared" si="21"/>
        <v>0</v>
      </c>
    </row>
    <row r="135" spans="1:11" s="671" customFormat="1" ht="13">
      <c r="A135" s="109">
        <f t="shared" si="18"/>
        <v>95</v>
      </c>
      <c r="B135" s="634" t="s">
        <v>182</v>
      </c>
      <c r="C135" s="632">
        <v>2021</v>
      </c>
      <c r="D135" s="1072">
        <v>0</v>
      </c>
      <c r="E135" s="63">
        <f>D135*'16-PlantAdditions'!$E$103</f>
        <v>0</v>
      </c>
      <c r="F135" s="63">
        <f t="shared" si="19"/>
        <v>0</v>
      </c>
      <c r="G135" s="1072">
        <v>0</v>
      </c>
      <c r="H135" s="1072">
        <v>0</v>
      </c>
      <c r="I135" s="63">
        <f>(G135-H135)*'16-PlantAdditions'!$E$103</f>
        <v>0</v>
      </c>
      <c r="J135" s="63">
        <f t="shared" si="20"/>
        <v>0</v>
      </c>
      <c r="K135" s="490">
        <f t="shared" si="21"/>
        <v>0</v>
      </c>
    </row>
    <row r="136" spans="1:11" s="671" customFormat="1" ht="13">
      <c r="A136" s="109">
        <f t="shared" si="18"/>
        <v>96</v>
      </c>
      <c r="B136" s="634" t="s">
        <v>195</v>
      </c>
      <c r="C136" s="632">
        <v>2021</v>
      </c>
      <c r="D136" s="1072">
        <v>0</v>
      </c>
      <c r="E136" s="63">
        <f>D136*'16-PlantAdditions'!$E$103</f>
        <v>0</v>
      </c>
      <c r="F136" s="63">
        <f t="shared" si="19"/>
        <v>0</v>
      </c>
      <c r="G136" s="1072">
        <v>0</v>
      </c>
      <c r="H136" s="1072">
        <v>0</v>
      </c>
      <c r="I136" s="63">
        <f>(G136-H136)*'16-PlantAdditions'!$E$103</f>
        <v>0</v>
      </c>
      <c r="J136" s="63">
        <f t="shared" si="20"/>
        <v>0</v>
      </c>
      <c r="K136" s="490">
        <f t="shared" si="21"/>
        <v>0</v>
      </c>
    </row>
    <row r="137" spans="1:11" s="671" customFormat="1" ht="13">
      <c r="A137" s="109">
        <f t="shared" si="18"/>
        <v>97</v>
      </c>
      <c r="B137" s="631" t="s">
        <v>183</v>
      </c>
      <c r="C137" s="632">
        <v>2021</v>
      </c>
      <c r="D137" s="1072">
        <v>0</v>
      </c>
      <c r="E137" s="63">
        <f>D137*'16-PlantAdditions'!$E$103</f>
        <v>0</v>
      </c>
      <c r="F137" s="63">
        <f t="shared" si="19"/>
        <v>0</v>
      </c>
      <c r="G137" s="1072">
        <v>0</v>
      </c>
      <c r="H137" s="1072">
        <v>0</v>
      </c>
      <c r="I137" s="63">
        <f>(G137-H137)*'16-PlantAdditions'!$E$103</f>
        <v>0</v>
      </c>
      <c r="J137" s="63">
        <f t="shared" si="20"/>
        <v>0</v>
      </c>
      <c r="K137" s="490">
        <f t="shared" si="21"/>
        <v>0</v>
      </c>
    </row>
    <row r="138" spans="1:11" s="671" customFormat="1" ht="13">
      <c r="A138" s="109">
        <f t="shared" si="18"/>
        <v>98</v>
      </c>
      <c r="B138" s="634" t="s">
        <v>184</v>
      </c>
      <c r="C138" s="632">
        <v>2021</v>
      </c>
      <c r="D138" s="1072">
        <v>0</v>
      </c>
      <c r="E138" s="63">
        <f>D138*'16-PlantAdditions'!$E$103</f>
        <v>0</v>
      </c>
      <c r="F138" s="63">
        <f t="shared" si="19"/>
        <v>0</v>
      </c>
      <c r="G138" s="1072">
        <v>0</v>
      </c>
      <c r="H138" s="1072">
        <v>0</v>
      </c>
      <c r="I138" s="63">
        <f>(G138-H138)*'16-PlantAdditions'!$E$103</f>
        <v>0</v>
      </c>
      <c r="J138" s="63">
        <f t="shared" si="20"/>
        <v>0</v>
      </c>
      <c r="K138" s="490">
        <f t="shared" si="21"/>
        <v>0</v>
      </c>
    </row>
    <row r="139" spans="1:11" s="671" customFormat="1" ht="13">
      <c r="A139" s="109">
        <f t="shared" si="18"/>
        <v>99</v>
      </c>
      <c r="B139" s="634" t="s">
        <v>1464</v>
      </c>
      <c r="C139" s="632">
        <v>2021</v>
      </c>
      <c r="D139" s="1072">
        <v>0</v>
      </c>
      <c r="E139" s="63">
        <f>D139*'16-PlantAdditions'!$E$103</f>
        <v>0</v>
      </c>
      <c r="F139" s="63">
        <f t="shared" si="19"/>
        <v>0</v>
      </c>
      <c r="G139" s="1072">
        <v>0</v>
      </c>
      <c r="H139" s="1072">
        <v>0</v>
      </c>
      <c r="I139" s="63">
        <f>(G139-H139)*'16-PlantAdditions'!$E$103</f>
        <v>0</v>
      </c>
      <c r="J139" s="63">
        <f t="shared" si="20"/>
        <v>0</v>
      </c>
      <c r="K139" s="490">
        <f t="shared" si="21"/>
        <v>0</v>
      </c>
    </row>
    <row r="140" spans="1:11" s="671" customFormat="1" ht="13">
      <c r="A140" s="109">
        <f t="shared" si="18"/>
        <v>100</v>
      </c>
      <c r="B140" s="631" t="s">
        <v>186</v>
      </c>
      <c r="C140" s="632">
        <v>2021</v>
      </c>
      <c r="D140" s="1072">
        <v>0</v>
      </c>
      <c r="E140" s="63">
        <f>D140*'16-PlantAdditions'!$E$103</f>
        <v>0</v>
      </c>
      <c r="F140" s="63">
        <f t="shared" si="19"/>
        <v>0</v>
      </c>
      <c r="G140" s="1072">
        <v>0</v>
      </c>
      <c r="H140" s="1072">
        <v>0</v>
      </c>
      <c r="I140" s="63">
        <f>(G140-H140)*'16-PlantAdditions'!$E$103</f>
        <v>0</v>
      </c>
      <c r="J140" s="63">
        <f t="shared" si="20"/>
        <v>0</v>
      </c>
      <c r="K140" s="490">
        <f t="shared" si="21"/>
        <v>0</v>
      </c>
    </row>
    <row r="141" spans="1:11" s="671" customFormat="1" ht="13">
      <c r="A141" s="109">
        <f t="shared" si="18"/>
        <v>101</v>
      </c>
      <c r="B141" s="634" t="s">
        <v>187</v>
      </c>
      <c r="C141" s="632">
        <v>2021</v>
      </c>
      <c r="D141" s="1072">
        <v>0</v>
      </c>
      <c r="E141" s="63">
        <f>D141*'16-PlantAdditions'!$E$103</f>
        <v>0</v>
      </c>
      <c r="F141" s="63">
        <f t="shared" si="19"/>
        <v>0</v>
      </c>
      <c r="G141" s="1072">
        <v>0</v>
      </c>
      <c r="H141" s="1072">
        <v>0</v>
      </c>
      <c r="I141" s="63">
        <f>(G141-H141)*'16-PlantAdditions'!$E$103</f>
        <v>0</v>
      </c>
      <c r="J141" s="63">
        <f t="shared" si="20"/>
        <v>0</v>
      </c>
      <c r="K141" s="490">
        <f t="shared" si="21"/>
        <v>0</v>
      </c>
    </row>
    <row r="142" spans="1:11" s="671" customFormat="1" ht="13">
      <c r="A142" s="109">
        <f t="shared" si="18"/>
        <v>102</v>
      </c>
      <c r="B142" s="634" t="s">
        <v>188</v>
      </c>
      <c r="C142" s="632">
        <v>2021</v>
      </c>
      <c r="D142" s="1072">
        <v>0</v>
      </c>
      <c r="E142" s="63">
        <f>D142*'16-PlantAdditions'!$E$103</f>
        <v>0</v>
      </c>
      <c r="F142" s="63">
        <f t="shared" si="19"/>
        <v>0</v>
      </c>
      <c r="G142" s="1072">
        <v>0</v>
      </c>
      <c r="H142" s="1072">
        <v>0</v>
      </c>
      <c r="I142" s="63">
        <f>(G142-H142)*'16-PlantAdditions'!$E$103</f>
        <v>0</v>
      </c>
      <c r="J142" s="63">
        <f t="shared" si="20"/>
        <v>0</v>
      </c>
      <c r="K142" s="490">
        <f t="shared" si="21"/>
        <v>0</v>
      </c>
    </row>
    <row r="143" spans="1:11" s="671" customFormat="1" ht="13">
      <c r="A143" s="109">
        <f t="shared" si="18"/>
        <v>103</v>
      </c>
      <c r="B143" s="634" t="s">
        <v>191</v>
      </c>
      <c r="C143" s="632">
        <v>2021</v>
      </c>
      <c r="D143" s="1072">
        <v>0</v>
      </c>
      <c r="E143" s="63">
        <f>D143*'16-PlantAdditions'!$E$103</f>
        <v>0</v>
      </c>
      <c r="F143" s="63">
        <f t="shared" si="19"/>
        <v>0</v>
      </c>
      <c r="G143" s="1072">
        <v>0</v>
      </c>
      <c r="H143" s="1072">
        <v>0</v>
      </c>
      <c r="I143" s="63">
        <f>(G143-H143)*'16-PlantAdditions'!$E$103</f>
        <v>0</v>
      </c>
      <c r="J143" s="63">
        <f t="shared" si="20"/>
        <v>0</v>
      </c>
      <c r="K143" s="490">
        <f t="shared" si="21"/>
        <v>0</v>
      </c>
    </row>
    <row r="144" spans="1:11" s="671" customFormat="1" ht="13">
      <c r="A144" s="109">
        <f t="shared" si="18"/>
        <v>104</v>
      </c>
      <c r="B144" s="634" t="s">
        <v>190</v>
      </c>
      <c r="C144" s="632">
        <v>2021</v>
      </c>
      <c r="D144" s="1072">
        <v>0</v>
      </c>
      <c r="E144" s="63">
        <f>D144*'16-PlantAdditions'!$E$103</f>
        <v>0</v>
      </c>
      <c r="F144" s="63">
        <f t="shared" si="19"/>
        <v>0</v>
      </c>
      <c r="G144" s="1072">
        <v>0</v>
      </c>
      <c r="H144" s="1072">
        <v>0</v>
      </c>
      <c r="I144" s="63">
        <f>(G144-H144)*'16-PlantAdditions'!$E$103</f>
        <v>0</v>
      </c>
      <c r="J144" s="63">
        <f t="shared" si="20"/>
        <v>0</v>
      </c>
      <c r="K144" s="490">
        <f t="shared" si="21"/>
        <v>0</v>
      </c>
    </row>
    <row r="145" spans="1:11" s="671" customFormat="1" ht="13">
      <c r="A145" s="109">
        <f t="shared" si="18"/>
        <v>105</v>
      </c>
      <c r="B145" s="634" t="s">
        <v>180</v>
      </c>
      <c r="C145" s="632">
        <v>2021</v>
      </c>
      <c r="D145" s="1072">
        <v>0</v>
      </c>
      <c r="E145" s="63">
        <f>D145*'16-PlantAdditions'!$E$103</f>
        <v>0</v>
      </c>
      <c r="F145" s="63">
        <f t="shared" si="19"/>
        <v>0</v>
      </c>
      <c r="G145" s="1072">
        <v>0</v>
      </c>
      <c r="H145" s="1072">
        <v>0</v>
      </c>
      <c r="I145" s="63">
        <f>(G145-H145)*'16-PlantAdditions'!$E$103</f>
        <v>0</v>
      </c>
      <c r="J145" s="63">
        <f t="shared" si="20"/>
        <v>0</v>
      </c>
      <c r="K145" s="110">
        <f t="shared" si="21"/>
        <v>0</v>
      </c>
    </row>
    <row r="146" spans="1:11" s="671" customFormat="1" ht="13">
      <c r="A146" s="109">
        <f t="shared" si="18"/>
        <v>106</v>
      </c>
      <c r="B146"/>
      <c r="C146" s="670" t="s">
        <v>1614</v>
      </c>
      <c r="D146"/>
      <c r="E146"/>
      <c r="F146"/>
      <c r="G146"/>
      <c r="H146"/>
      <c r="I146"/>
      <c r="J146"/>
      <c r="K146" s="73">
        <f>AVERAGE(K133:K145)</f>
        <v>0</v>
      </c>
    </row>
    <row r="147" spans="1:11" s="671" customFormat="1" ht="13">
      <c r="A147" s="109"/>
      <c r="B147"/>
      <c r="C147" s="670"/>
      <c r="D147"/>
      <c r="E147"/>
      <c r="F147"/>
      <c r="G147"/>
      <c r="H147"/>
      <c r="I147"/>
      <c r="J147"/>
      <c r="K147" s="73"/>
    </row>
    <row r="148" spans="1:11" s="671" customFormat="1" ht="13">
      <c r="B148" s="672" t="s">
        <v>1941</v>
      </c>
      <c r="D148" s="1396" t="s">
        <v>2743</v>
      </c>
      <c r="E148" s="1396"/>
    </row>
    <row r="149" spans="1:11" s="671" customFormat="1" ht="13">
      <c r="D149" s="673"/>
      <c r="E149" s="673"/>
      <c r="F149" s="673"/>
      <c r="G149" s="572" t="str">
        <f>G51</f>
        <v>Unloaded</v>
      </c>
      <c r="H149" s="673"/>
      <c r="I149" s="673"/>
    </row>
    <row r="150" spans="1:11" s="671" customFormat="1" ht="13">
      <c r="A150" s="668"/>
      <c r="B150" s="668"/>
      <c r="C150" s="668"/>
      <c r="D150" s="668" t="str">
        <f>D$52</f>
        <v>Forecast</v>
      </c>
      <c r="E150" s="668" t="str">
        <f t="shared" ref="E150:J150" si="22">E$52</f>
        <v>Corporate</v>
      </c>
      <c r="F150" s="668" t="str">
        <f t="shared" si="22"/>
        <v xml:space="preserve">Total </v>
      </c>
      <c r="G150" s="572" t="str">
        <f>G52</f>
        <v>Total</v>
      </c>
      <c r="H150" s="668" t="str">
        <f t="shared" si="22"/>
        <v>Prior Period</v>
      </c>
      <c r="I150" s="668" t="str">
        <f t="shared" si="22"/>
        <v>Over Heads</v>
      </c>
      <c r="J150" s="668" t="str">
        <f t="shared" si="22"/>
        <v>Forecast</v>
      </c>
      <c r="K150" s="572" t="str">
        <f>K$52</f>
        <v>Forecast Period</v>
      </c>
    </row>
    <row r="151" spans="1:11" s="671" customFormat="1" ht="13">
      <c r="A151" s="910" t="s">
        <v>330</v>
      </c>
      <c r="B151" s="630" t="s">
        <v>192</v>
      </c>
      <c r="C151" s="630" t="s">
        <v>193</v>
      </c>
      <c r="D151" s="666" t="str">
        <f>D$53</f>
        <v>Expenditures</v>
      </c>
      <c r="E151" s="666" t="str">
        <f t="shared" ref="E151:J151" si="23">E$53</f>
        <v>Overheads</v>
      </c>
      <c r="F151" s="666" t="str">
        <f t="shared" si="23"/>
        <v>CWIP Exp</v>
      </c>
      <c r="G151" s="3" t="str">
        <f>G53</f>
        <v>Plant Adds</v>
      </c>
      <c r="H151" s="666" t="str">
        <f t="shared" si="23"/>
        <v>CWIP Closed</v>
      </c>
      <c r="I151" s="666" t="str">
        <f t="shared" si="23"/>
        <v>Closed to PIS</v>
      </c>
      <c r="J151" s="666" t="str">
        <f t="shared" si="23"/>
        <v>Period CWIP</v>
      </c>
      <c r="K151" s="666" t="str">
        <f>K$53</f>
        <v>Incremental CWIP</v>
      </c>
    </row>
    <row r="152" spans="1:11" s="671" customFormat="1" ht="13">
      <c r="A152" s="109">
        <f>A146+1</f>
        <v>107</v>
      </c>
      <c r="B152" s="631" t="s">
        <v>180</v>
      </c>
      <c r="C152" s="632">
        <v>2019</v>
      </c>
      <c r="D152" s="675" t="s">
        <v>76</v>
      </c>
      <c r="E152" s="675" t="s">
        <v>76</v>
      </c>
      <c r="F152" s="675" t="s">
        <v>76</v>
      </c>
      <c r="G152" s="675" t="s">
        <v>76</v>
      </c>
      <c r="H152" s="675" t="s">
        <v>76</v>
      </c>
      <c r="I152" s="675" t="s">
        <v>76</v>
      </c>
      <c r="J152" s="63">
        <f>G25</f>
        <v>5584199.04</v>
      </c>
      <c r="K152" s="675" t="s">
        <v>76</v>
      </c>
    </row>
    <row r="153" spans="1:11" s="671" customFormat="1" ht="13">
      <c r="A153" s="109">
        <f>A152+1</f>
        <v>108</v>
      </c>
      <c r="B153" s="631" t="s">
        <v>181</v>
      </c>
      <c r="C153" s="632">
        <v>2020</v>
      </c>
      <c r="D153" s="1072">
        <v>1551</v>
      </c>
      <c r="E153" s="63">
        <f>D153*'16-PlantAdditions'!$E$103</f>
        <v>116.32499999999999</v>
      </c>
      <c r="F153" s="63">
        <f>E153+D153</f>
        <v>1667.325</v>
      </c>
      <c r="G153" s="1072">
        <v>0</v>
      </c>
      <c r="H153" s="1072">
        <v>0</v>
      </c>
      <c r="I153" s="63">
        <f>(G153-H153)*'16-PlantAdditions'!$E$103</f>
        <v>0</v>
      </c>
      <c r="J153" s="63">
        <f>J152+F153-G153-I153</f>
        <v>5585866.3650000002</v>
      </c>
      <c r="K153" s="63">
        <f>J153-$J$152</f>
        <v>1667.3250000001863</v>
      </c>
    </row>
    <row r="154" spans="1:11" s="671" customFormat="1" ht="13">
      <c r="A154" s="109">
        <f t="shared" ref="A154:A177" si="24">A153+1</f>
        <v>109</v>
      </c>
      <c r="B154" s="634" t="s">
        <v>182</v>
      </c>
      <c r="C154" s="632">
        <v>2020</v>
      </c>
      <c r="D154" s="1072">
        <v>1453</v>
      </c>
      <c r="E154" s="63">
        <f>D154*'16-PlantAdditions'!$E$103</f>
        <v>108.97499999999999</v>
      </c>
      <c r="F154" s="63">
        <f t="shared" ref="F154:F176" si="25">E154+D154</f>
        <v>1561.9749999999999</v>
      </c>
      <c r="G154" s="1072">
        <v>0</v>
      </c>
      <c r="H154" s="1072">
        <v>0</v>
      </c>
      <c r="I154" s="63">
        <f>(G154-H154)*'16-PlantAdditions'!$E$103</f>
        <v>0</v>
      </c>
      <c r="J154" s="63">
        <f t="shared" ref="J154:J173" si="26">J153+F154-G154-I154</f>
        <v>5587428.3399999999</v>
      </c>
      <c r="K154" s="63">
        <f t="shared" ref="K154:K176" si="27">J154-$J$152</f>
        <v>3229.2999999998137</v>
      </c>
    </row>
    <row r="155" spans="1:11" s="671" customFormat="1" ht="13">
      <c r="A155" s="109">
        <f t="shared" si="24"/>
        <v>110</v>
      </c>
      <c r="B155" s="634" t="s">
        <v>195</v>
      </c>
      <c r="C155" s="632">
        <v>2020</v>
      </c>
      <c r="D155" s="1072">
        <v>2114</v>
      </c>
      <c r="E155" s="63">
        <f>D155*'16-PlantAdditions'!$E$103</f>
        <v>158.54999999999998</v>
      </c>
      <c r="F155" s="63">
        <f t="shared" si="25"/>
        <v>2272.5500000000002</v>
      </c>
      <c r="G155" s="1072">
        <v>0</v>
      </c>
      <c r="H155" s="1072">
        <v>0</v>
      </c>
      <c r="I155" s="63">
        <f>(G155-H155)*'16-PlantAdditions'!$E$103</f>
        <v>0</v>
      </c>
      <c r="J155" s="63">
        <f t="shared" si="26"/>
        <v>5589700.8899999997</v>
      </c>
      <c r="K155" s="63">
        <f t="shared" si="27"/>
        <v>5501.8499999996275</v>
      </c>
    </row>
    <row r="156" spans="1:11" s="671" customFormat="1" ht="13">
      <c r="A156" s="109">
        <f t="shared" si="24"/>
        <v>111</v>
      </c>
      <c r="B156" s="631" t="s">
        <v>183</v>
      </c>
      <c r="C156" s="632">
        <v>2020</v>
      </c>
      <c r="D156" s="1072">
        <v>1500</v>
      </c>
      <c r="E156" s="63">
        <f>D156*'16-PlantAdditions'!$E$103</f>
        <v>112.5</v>
      </c>
      <c r="F156" s="63">
        <f t="shared" si="25"/>
        <v>1612.5</v>
      </c>
      <c r="G156" s="1072">
        <v>0</v>
      </c>
      <c r="H156" s="1072">
        <v>0</v>
      </c>
      <c r="I156" s="63">
        <f>(G156-H156)*'16-PlantAdditions'!$E$103</f>
        <v>0</v>
      </c>
      <c r="J156" s="63">
        <f t="shared" si="26"/>
        <v>5591313.3899999997</v>
      </c>
      <c r="K156" s="63">
        <f t="shared" si="27"/>
        <v>7114.3499999996275</v>
      </c>
    </row>
    <row r="157" spans="1:11" s="671" customFormat="1" ht="13">
      <c r="A157" s="109">
        <f t="shared" si="24"/>
        <v>112</v>
      </c>
      <c r="B157" s="634" t="s">
        <v>184</v>
      </c>
      <c r="C157" s="632">
        <v>2020</v>
      </c>
      <c r="D157" s="1072">
        <v>1500</v>
      </c>
      <c r="E157" s="63">
        <f>D157*'16-PlantAdditions'!$E$103</f>
        <v>112.5</v>
      </c>
      <c r="F157" s="63">
        <f t="shared" si="25"/>
        <v>1612.5</v>
      </c>
      <c r="G157" s="1072">
        <v>0</v>
      </c>
      <c r="H157" s="1072">
        <v>0</v>
      </c>
      <c r="I157" s="63">
        <f>(G157-H157)*'16-PlantAdditions'!$E$103</f>
        <v>0</v>
      </c>
      <c r="J157" s="63">
        <f t="shared" si="26"/>
        <v>5592925.8899999997</v>
      </c>
      <c r="K157" s="63">
        <f t="shared" si="27"/>
        <v>8726.8499999996275</v>
      </c>
    </row>
    <row r="158" spans="1:11" s="671" customFormat="1" ht="13">
      <c r="A158" s="109">
        <f t="shared" si="24"/>
        <v>113</v>
      </c>
      <c r="B158" s="634" t="s">
        <v>1464</v>
      </c>
      <c r="C158" s="632">
        <v>2020</v>
      </c>
      <c r="D158" s="1072">
        <v>1500</v>
      </c>
      <c r="E158" s="63">
        <f>D158*'16-PlantAdditions'!$E$103</f>
        <v>112.5</v>
      </c>
      <c r="F158" s="63">
        <f t="shared" si="25"/>
        <v>1612.5</v>
      </c>
      <c r="G158" s="1072">
        <v>0</v>
      </c>
      <c r="H158" s="1072">
        <v>0</v>
      </c>
      <c r="I158" s="63">
        <f>(G158-H158)*'16-PlantAdditions'!$E$103</f>
        <v>0</v>
      </c>
      <c r="J158" s="63">
        <f t="shared" si="26"/>
        <v>5594538.3899999997</v>
      </c>
      <c r="K158" s="63">
        <f t="shared" si="27"/>
        <v>10339.349999999627</v>
      </c>
    </row>
    <row r="159" spans="1:11" s="671" customFormat="1" ht="13">
      <c r="A159" s="109">
        <f t="shared" si="24"/>
        <v>114</v>
      </c>
      <c r="B159" s="631" t="s">
        <v>186</v>
      </c>
      <c r="C159" s="632">
        <v>2020</v>
      </c>
      <c r="D159" s="1072">
        <v>1500</v>
      </c>
      <c r="E159" s="63">
        <f>D159*'16-PlantAdditions'!$E$103</f>
        <v>112.5</v>
      </c>
      <c r="F159" s="63">
        <f t="shared" si="25"/>
        <v>1612.5</v>
      </c>
      <c r="G159" s="1072">
        <v>0</v>
      </c>
      <c r="H159" s="1072">
        <v>0</v>
      </c>
      <c r="I159" s="63">
        <f>(G159-H159)*'16-PlantAdditions'!$E$103</f>
        <v>0</v>
      </c>
      <c r="J159" s="63">
        <f t="shared" si="26"/>
        <v>5596150.8899999997</v>
      </c>
      <c r="K159" s="63">
        <f t="shared" si="27"/>
        <v>11951.849999999627</v>
      </c>
    </row>
    <row r="160" spans="1:11" s="671" customFormat="1" ht="13">
      <c r="A160" s="109">
        <f t="shared" si="24"/>
        <v>115</v>
      </c>
      <c r="B160" s="634" t="s">
        <v>187</v>
      </c>
      <c r="C160" s="632">
        <v>2020</v>
      </c>
      <c r="D160" s="1072">
        <v>1500</v>
      </c>
      <c r="E160" s="63">
        <f>D160*'16-PlantAdditions'!$E$103</f>
        <v>112.5</v>
      </c>
      <c r="F160" s="63">
        <f t="shared" si="25"/>
        <v>1612.5</v>
      </c>
      <c r="G160" s="1072">
        <v>0</v>
      </c>
      <c r="H160" s="1072">
        <v>0</v>
      </c>
      <c r="I160" s="63">
        <f>(G160-H160)*'16-PlantAdditions'!$E$103</f>
        <v>0</v>
      </c>
      <c r="J160" s="63">
        <f t="shared" si="26"/>
        <v>5597763.3899999997</v>
      </c>
      <c r="K160" s="63">
        <f t="shared" si="27"/>
        <v>13564.349999999627</v>
      </c>
    </row>
    <row r="161" spans="1:11" s="671" customFormat="1" ht="13">
      <c r="A161" s="109">
        <f t="shared" si="24"/>
        <v>116</v>
      </c>
      <c r="B161" s="634" t="s">
        <v>188</v>
      </c>
      <c r="C161" s="632">
        <v>2020</v>
      </c>
      <c r="D161" s="1072">
        <v>1500</v>
      </c>
      <c r="E161" s="63">
        <f>D161*'16-PlantAdditions'!$E$103</f>
        <v>112.5</v>
      </c>
      <c r="F161" s="63">
        <f t="shared" si="25"/>
        <v>1612.5</v>
      </c>
      <c r="G161" s="1072">
        <v>0</v>
      </c>
      <c r="H161" s="1072">
        <v>0</v>
      </c>
      <c r="I161" s="63">
        <f>(G161-H161)*'16-PlantAdditions'!$E$103</f>
        <v>0</v>
      </c>
      <c r="J161" s="63">
        <f t="shared" si="26"/>
        <v>5599375.8899999997</v>
      </c>
      <c r="K161" s="63">
        <f t="shared" si="27"/>
        <v>15176.849999999627</v>
      </c>
    </row>
    <row r="162" spans="1:11" s="671" customFormat="1" ht="13">
      <c r="A162" s="109">
        <f t="shared" si="24"/>
        <v>117</v>
      </c>
      <c r="B162" s="631" t="s">
        <v>191</v>
      </c>
      <c r="C162" s="632">
        <v>2020</v>
      </c>
      <c r="D162" s="1072">
        <v>1500</v>
      </c>
      <c r="E162" s="63">
        <f>D162*'16-PlantAdditions'!$E$103</f>
        <v>112.5</v>
      </c>
      <c r="F162" s="63">
        <f t="shared" si="25"/>
        <v>1612.5</v>
      </c>
      <c r="G162" s="1072">
        <v>0</v>
      </c>
      <c r="H162" s="1072">
        <v>0</v>
      </c>
      <c r="I162" s="63">
        <f>(G162-H162)*'16-PlantAdditions'!$E$103</f>
        <v>0</v>
      </c>
      <c r="J162" s="63">
        <f t="shared" si="26"/>
        <v>5600988.3899999997</v>
      </c>
      <c r="K162" s="63">
        <f t="shared" si="27"/>
        <v>16789.349999999627</v>
      </c>
    </row>
    <row r="163" spans="1:11" s="671" customFormat="1" ht="13">
      <c r="A163" s="109">
        <f t="shared" si="24"/>
        <v>118</v>
      </c>
      <c r="B163" s="631" t="s">
        <v>190</v>
      </c>
      <c r="C163" s="632">
        <v>2020</v>
      </c>
      <c r="D163" s="1072">
        <v>1500</v>
      </c>
      <c r="E163" s="63">
        <f>D163*'16-PlantAdditions'!$E$103</f>
        <v>112.5</v>
      </c>
      <c r="F163" s="63">
        <f t="shared" si="25"/>
        <v>1612.5</v>
      </c>
      <c r="G163" s="1072">
        <v>0</v>
      </c>
      <c r="H163" s="1072">
        <v>0</v>
      </c>
      <c r="I163" s="63">
        <f>(G163-H163)*'16-PlantAdditions'!$E$103</f>
        <v>0</v>
      </c>
      <c r="J163" s="63">
        <f t="shared" si="26"/>
        <v>5602600.8899999997</v>
      </c>
      <c r="K163" s="63">
        <f t="shared" si="27"/>
        <v>18401.849999999627</v>
      </c>
    </row>
    <row r="164" spans="1:11" s="671" customFormat="1" ht="13">
      <c r="A164" s="109">
        <f t="shared" si="24"/>
        <v>119</v>
      </c>
      <c r="B164" s="631" t="s">
        <v>180</v>
      </c>
      <c r="C164" s="632">
        <v>2020</v>
      </c>
      <c r="D164" s="1072">
        <v>2882</v>
      </c>
      <c r="E164" s="63">
        <f>D164*'16-PlantAdditions'!$E$103</f>
        <v>216.15</v>
      </c>
      <c r="F164" s="63">
        <f t="shared" si="25"/>
        <v>3098.15</v>
      </c>
      <c r="G164" s="1072">
        <v>0</v>
      </c>
      <c r="H164" s="1072">
        <v>0</v>
      </c>
      <c r="I164" s="63">
        <f>(G164-H164)*'16-PlantAdditions'!$E$103</f>
        <v>0</v>
      </c>
      <c r="J164" s="63">
        <f t="shared" si="26"/>
        <v>5605699.04</v>
      </c>
      <c r="K164" s="63">
        <f t="shared" si="27"/>
        <v>21500</v>
      </c>
    </row>
    <row r="165" spans="1:11" s="671" customFormat="1" ht="13">
      <c r="A165" s="109">
        <f t="shared" si="24"/>
        <v>120</v>
      </c>
      <c r="B165" s="631" t="s">
        <v>181</v>
      </c>
      <c r="C165" s="632">
        <v>2021</v>
      </c>
      <c r="D165" s="1072">
        <v>0</v>
      </c>
      <c r="E165" s="63">
        <f>D165*'16-PlantAdditions'!$E$103</f>
        <v>0</v>
      </c>
      <c r="F165" s="63">
        <f t="shared" si="25"/>
        <v>0</v>
      </c>
      <c r="G165" s="1072">
        <v>0</v>
      </c>
      <c r="H165" s="1072">
        <v>0</v>
      </c>
      <c r="I165" s="63">
        <f>(G165-H165)*'16-PlantAdditions'!$E$103</f>
        <v>0</v>
      </c>
      <c r="J165" s="63">
        <f t="shared" si="26"/>
        <v>5605699.04</v>
      </c>
      <c r="K165" s="63">
        <f t="shared" si="27"/>
        <v>21500</v>
      </c>
    </row>
    <row r="166" spans="1:11" s="671" customFormat="1" ht="13">
      <c r="A166" s="109">
        <f t="shared" si="24"/>
        <v>121</v>
      </c>
      <c r="B166" s="634" t="s">
        <v>182</v>
      </c>
      <c r="C166" s="632">
        <v>2021</v>
      </c>
      <c r="D166" s="1072">
        <v>0</v>
      </c>
      <c r="E166" s="63">
        <f>D166*'16-PlantAdditions'!$E$103</f>
        <v>0</v>
      </c>
      <c r="F166" s="63">
        <f t="shared" si="25"/>
        <v>0</v>
      </c>
      <c r="G166" s="1072">
        <v>0</v>
      </c>
      <c r="H166" s="1072">
        <v>0</v>
      </c>
      <c r="I166" s="63">
        <f>(G166-H166)*'16-PlantAdditions'!$E$103</f>
        <v>0</v>
      </c>
      <c r="J166" s="63">
        <f t="shared" si="26"/>
        <v>5605699.04</v>
      </c>
      <c r="K166" s="63">
        <f t="shared" si="27"/>
        <v>21500</v>
      </c>
    </row>
    <row r="167" spans="1:11" s="671" customFormat="1" ht="13">
      <c r="A167" s="109">
        <f t="shared" si="24"/>
        <v>122</v>
      </c>
      <c r="B167" s="634" t="s">
        <v>195</v>
      </c>
      <c r="C167" s="632">
        <v>2021</v>
      </c>
      <c r="D167" s="1072">
        <v>0</v>
      </c>
      <c r="E167" s="63">
        <f>D167*'16-PlantAdditions'!$E$103</f>
        <v>0</v>
      </c>
      <c r="F167" s="63">
        <f t="shared" si="25"/>
        <v>0</v>
      </c>
      <c r="G167" s="1072">
        <v>0</v>
      </c>
      <c r="H167" s="1072">
        <v>0</v>
      </c>
      <c r="I167" s="63">
        <f>(G167-H167)*'16-PlantAdditions'!$E$103</f>
        <v>0</v>
      </c>
      <c r="J167" s="63">
        <f t="shared" si="26"/>
        <v>5605699.04</v>
      </c>
      <c r="K167" s="63">
        <f t="shared" si="27"/>
        <v>21500</v>
      </c>
    </row>
    <row r="168" spans="1:11" s="671" customFormat="1" ht="13">
      <c r="A168" s="109">
        <f t="shared" si="24"/>
        <v>123</v>
      </c>
      <c r="B168" s="631" t="s">
        <v>183</v>
      </c>
      <c r="C168" s="632">
        <v>2021</v>
      </c>
      <c r="D168" s="1072">
        <v>0</v>
      </c>
      <c r="E168" s="63">
        <f>D168*'16-PlantAdditions'!$E$103</f>
        <v>0</v>
      </c>
      <c r="F168" s="63">
        <f t="shared" si="25"/>
        <v>0</v>
      </c>
      <c r="G168" s="1072">
        <v>0</v>
      </c>
      <c r="H168" s="1072">
        <v>0</v>
      </c>
      <c r="I168" s="63">
        <f>(G168-H168)*'16-PlantAdditions'!$E$103</f>
        <v>0</v>
      </c>
      <c r="J168" s="63">
        <f t="shared" si="26"/>
        <v>5605699.04</v>
      </c>
      <c r="K168" s="63">
        <f t="shared" si="27"/>
        <v>21500</v>
      </c>
    </row>
    <row r="169" spans="1:11" s="671" customFormat="1" ht="13">
      <c r="A169" s="109">
        <f t="shared" si="24"/>
        <v>124</v>
      </c>
      <c r="B169" s="634" t="s">
        <v>184</v>
      </c>
      <c r="C169" s="632">
        <v>2021</v>
      </c>
      <c r="D169" s="1072">
        <v>0</v>
      </c>
      <c r="E169" s="63">
        <f>D169*'16-PlantAdditions'!$E$103</f>
        <v>0</v>
      </c>
      <c r="F169" s="63">
        <f t="shared" si="25"/>
        <v>0</v>
      </c>
      <c r="G169" s="1072">
        <v>0</v>
      </c>
      <c r="H169" s="1072">
        <v>0</v>
      </c>
      <c r="I169" s="63">
        <f>(G169-H169)*'16-PlantAdditions'!$E$103</f>
        <v>0</v>
      </c>
      <c r="J169" s="63">
        <f t="shared" si="26"/>
        <v>5605699.04</v>
      </c>
      <c r="K169" s="63">
        <f t="shared" si="27"/>
        <v>21500</v>
      </c>
    </row>
    <row r="170" spans="1:11" s="671" customFormat="1" ht="13">
      <c r="A170" s="109">
        <f t="shared" si="24"/>
        <v>125</v>
      </c>
      <c r="B170" s="634" t="s">
        <v>1464</v>
      </c>
      <c r="C170" s="632">
        <v>2021</v>
      </c>
      <c r="D170" s="1072">
        <v>0</v>
      </c>
      <c r="E170" s="63">
        <f>D170*'16-PlantAdditions'!$E$103</f>
        <v>0</v>
      </c>
      <c r="F170" s="63">
        <f t="shared" si="25"/>
        <v>0</v>
      </c>
      <c r="G170" s="1072">
        <v>0</v>
      </c>
      <c r="H170" s="1072">
        <v>0</v>
      </c>
      <c r="I170" s="63">
        <f>(G170-H170)*'16-PlantAdditions'!$E$103</f>
        <v>0</v>
      </c>
      <c r="J170" s="63">
        <f t="shared" si="26"/>
        <v>5605699.04</v>
      </c>
      <c r="K170" s="63">
        <f t="shared" si="27"/>
        <v>21500</v>
      </c>
    </row>
    <row r="171" spans="1:11" s="671" customFormat="1" ht="13">
      <c r="A171" s="109">
        <f t="shared" si="24"/>
        <v>126</v>
      </c>
      <c r="B171" s="631" t="s">
        <v>186</v>
      </c>
      <c r="C171" s="632">
        <v>2021</v>
      </c>
      <c r="D171" s="1072">
        <v>0</v>
      </c>
      <c r="E171" s="63">
        <f>D171*'16-PlantAdditions'!$E$103</f>
        <v>0</v>
      </c>
      <c r="F171" s="63">
        <f t="shared" si="25"/>
        <v>0</v>
      </c>
      <c r="G171" s="1072">
        <v>0</v>
      </c>
      <c r="H171" s="1072">
        <v>0</v>
      </c>
      <c r="I171" s="63">
        <f>(G171-H171)*'16-PlantAdditions'!$E$103</f>
        <v>0</v>
      </c>
      <c r="J171" s="63">
        <f t="shared" si="26"/>
        <v>5605699.04</v>
      </c>
      <c r="K171" s="63">
        <f t="shared" si="27"/>
        <v>21500</v>
      </c>
    </row>
    <row r="172" spans="1:11" s="671" customFormat="1" ht="13">
      <c r="A172" s="109">
        <f t="shared" si="24"/>
        <v>127</v>
      </c>
      <c r="B172" s="634" t="s">
        <v>187</v>
      </c>
      <c r="C172" s="632">
        <v>2021</v>
      </c>
      <c r="D172" s="1072">
        <v>0</v>
      </c>
      <c r="E172" s="63">
        <f>D172*'16-PlantAdditions'!$E$103</f>
        <v>0</v>
      </c>
      <c r="F172" s="63">
        <f t="shared" si="25"/>
        <v>0</v>
      </c>
      <c r="G172" s="1072">
        <v>0</v>
      </c>
      <c r="H172" s="1072">
        <v>0</v>
      </c>
      <c r="I172" s="63">
        <f>(G172-H172)*'16-PlantAdditions'!$E$103</f>
        <v>0</v>
      </c>
      <c r="J172" s="63">
        <f t="shared" si="26"/>
        <v>5605699.04</v>
      </c>
      <c r="K172" s="63">
        <f t="shared" si="27"/>
        <v>21500</v>
      </c>
    </row>
    <row r="173" spans="1:11" s="671" customFormat="1" ht="13">
      <c r="A173" s="109">
        <f t="shared" si="24"/>
        <v>128</v>
      </c>
      <c r="B173" s="634" t="s">
        <v>188</v>
      </c>
      <c r="C173" s="632">
        <v>2021</v>
      </c>
      <c r="D173" s="1072">
        <v>0</v>
      </c>
      <c r="E173" s="63">
        <f>D173*'16-PlantAdditions'!$E$103</f>
        <v>0</v>
      </c>
      <c r="F173" s="63">
        <f t="shared" si="25"/>
        <v>0</v>
      </c>
      <c r="G173" s="1072">
        <v>0</v>
      </c>
      <c r="H173" s="1072">
        <v>0</v>
      </c>
      <c r="I173" s="63">
        <f>(G173-H173)*'16-PlantAdditions'!$E$103</f>
        <v>0</v>
      </c>
      <c r="J173" s="63">
        <f t="shared" si="26"/>
        <v>5605699.04</v>
      </c>
      <c r="K173" s="63">
        <f t="shared" si="27"/>
        <v>21500</v>
      </c>
    </row>
    <row r="174" spans="1:11" s="671" customFormat="1" ht="13">
      <c r="A174" s="109">
        <f t="shared" si="24"/>
        <v>129</v>
      </c>
      <c r="B174" s="634" t="s">
        <v>191</v>
      </c>
      <c r="C174" s="632">
        <v>2021</v>
      </c>
      <c r="D174" s="1072">
        <v>0</v>
      </c>
      <c r="E174" s="63">
        <f>D174*'16-PlantAdditions'!$E$103</f>
        <v>0</v>
      </c>
      <c r="F174" s="63">
        <f t="shared" si="25"/>
        <v>0</v>
      </c>
      <c r="G174" s="1072">
        <v>0</v>
      </c>
      <c r="H174" s="1072">
        <v>0</v>
      </c>
      <c r="I174" s="63">
        <f>(G174-H174)*'16-PlantAdditions'!$E$103</f>
        <v>0</v>
      </c>
      <c r="J174" s="63">
        <f>J173+F174-G174-I174</f>
        <v>5605699.04</v>
      </c>
      <c r="K174" s="63">
        <f t="shared" si="27"/>
        <v>21500</v>
      </c>
    </row>
    <row r="175" spans="1:11" s="671" customFormat="1" ht="13">
      <c r="A175" s="109">
        <f t="shared" si="24"/>
        <v>130</v>
      </c>
      <c r="B175" s="634" t="s">
        <v>190</v>
      </c>
      <c r="C175" s="632">
        <v>2021</v>
      </c>
      <c r="D175" s="1072">
        <v>0</v>
      </c>
      <c r="E175" s="63">
        <f>D175*'16-PlantAdditions'!$E$103</f>
        <v>0</v>
      </c>
      <c r="F175" s="63">
        <f t="shared" si="25"/>
        <v>0</v>
      </c>
      <c r="G175" s="1072">
        <v>0</v>
      </c>
      <c r="H175" s="1072">
        <v>0</v>
      </c>
      <c r="I175" s="63">
        <f>(G175-H175)*'16-PlantAdditions'!$E$103</f>
        <v>0</v>
      </c>
      <c r="J175" s="63">
        <f>J174+F175-G175-I175</f>
        <v>5605699.04</v>
      </c>
      <c r="K175" s="63">
        <f t="shared" si="27"/>
        <v>21500</v>
      </c>
    </row>
    <row r="176" spans="1:11" s="671" customFormat="1" ht="13">
      <c r="A176" s="109">
        <f t="shared" si="24"/>
        <v>131</v>
      </c>
      <c r="B176" s="634" t="s">
        <v>180</v>
      </c>
      <c r="C176" s="632">
        <v>2021</v>
      </c>
      <c r="D176" s="1072">
        <v>0</v>
      </c>
      <c r="E176" s="63">
        <f>D176*'16-PlantAdditions'!$E$103</f>
        <v>0</v>
      </c>
      <c r="F176" s="63">
        <f t="shared" si="25"/>
        <v>0</v>
      </c>
      <c r="G176" s="1072">
        <v>0</v>
      </c>
      <c r="H176" s="1072">
        <v>0</v>
      </c>
      <c r="I176" s="63">
        <f>(G176-H176)*'16-PlantAdditions'!$E$103</f>
        <v>0</v>
      </c>
      <c r="J176" s="63">
        <f>J175+F176-G176-I176</f>
        <v>5605699.04</v>
      </c>
      <c r="K176" s="110">
        <f t="shared" si="27"/>
        <v>21500</v>
      </c>
    </row>
    <row r="177" spans="1:11" s="671" customFormat="1" ht="13">
      <c r="A177" s="109">
        <f t="shared" si="24"/>
        <v>132</v>
      </c>
      <c r="B177"/>
      <c r="C177" s="670" t="s">
        <v>1614</v>
      </c>
      <c r="D177"/>
      <c r="E177"/>
      <c r="F177"/>
      <c r="G177"/>
      <c r="H177"/>
      <c r="I177"/>
      <c r="J177"/>
      <c r="K177" s="73">
        <f>AVERAGE(K164:K176)</f>
        <v>21500</v>
      </c>
    </row>
    <row r="178" spans="1:11" s="671" customFormat="1" ht="13">
      <c r="A178" s="109"/>
      <c r="B178"/>
      <c r="C178" s="670"/>
      <c r="D178"/>
      <c r="E178"/>
      <c r="F178"/>
      <c r="G178"/>
      <c r="H178"/>
      <c r="I178"/>
      <c r="J178"/>
      <c r="K178" s="73"/>
    </row>
    <row r="179" spans="1:11" s="671" customFormat="1" ht="13">
      <c r="B179" s="672" t="s">
        <v>1942</v>
      </c>
      <c r="D179" s="1396" t="s">
        <v>2744</v>
      </c>
      <c r="E179" s="1396"/>
    </row>
    <row r="180" spans="1:11" s="671" customFormat="1" ht="13">
      <c r="A180" s="666"/>
      <c r="B180" s="666"/>
      <c r="C180" s="666"/>
      <c r="D180" s="666" t="s">
        <v>359</v>
      </c>
      <c r="E180" s="666" t="s">
        <v>343</v>
      </c>
      <c r="F180" s="666" t="s">
        <v>344</v>
      </c>
      <c r="G180" s="666" t="s">
        <v>345</v>
      </c>
      <c r="H180" s="666" t="s">
        <v>346</v>
      </c>
      <c r="I180" s="666" t="s">
        <v>347</v>
      </c>
      <c r="J180" s="666" t="s">
        <v>348</v>
      </c>
      <c r="K180" s="666" t="s">
        <v>537</v>
      </c>
    </row>
    <row r="181" spans="1:11" s="671" customFormat="1" ht="25.5">
      <c r="D181" s="673"/>
      <c r="E181" s="674" t="s">
        <v>2069</v>
      </c>
      <c r="F181" s="675" t="s">
        <v>1937</v>
      </c>
      <c r="G181" s="485"/>
      <c r="H181" s="673"/>
      <c r="I181" s="674" t="s">
        <v>2070</v>
      </c>
      <c r="J181" s="674" t="s">
        <v>1938</v>
      </c>
      <c r="K181" s="674" t="s">
        <v>1939</v>
      </c>
    </row>
    <row r="182" spans="1:11" s="671" customFormat="1" ht="13">
      <c r="D182" s="673"/>
      <c r="E182" s="674"/>
      <c r="F182" s="675"/>
      <c r="G182" s="4" t="str">
        <f>G51</f>
        <v>Unloaded</v>
      </c>
      <c r="H182" s="673"/>
      <c r="I182" s="674"/>
      <c r="J182" s="674"/>
      <c r="K182" s="674"/>
    </row>
    <row r="183" spans="1:11" s="671" customFormat="1" ht="13">
      <c r="A183" s="668"/>
      <c r="B183" s="668"/>
      <c r="C183" s="668"/>
      <c r="D183" s="668" t="str">
        <f>D$52</f>
        <v>Forecast</v>
      </c>
      <c r="E183" s="668" t="str">
        <f t="shared" ref="E183:J183" si="28">E$52</f>
        <v>Corporate</v>
      </c>
      <c r="F183" s="668" t="str">
        <f t="shared" si="28"/>
        <v xml:space="preserve">Total </v>
      </c>
      <c r="G183" s="4" t="str">
        <f>G52</f>
        <v>Total</v>
      </c>
      <c r="H183" s="668" t="str">
        <f t="shared" si="28"/>
        <v>Prior Period</v>
      </c>
      <c r="I183" s="668" t="str">
        <f t="shared" si="28"/>
        <v>Over Heads</v>
      </c>
      <c r="J183" s="668" t="str">
        <f t="shared" si="28"/>
        <v>Forecast</v>
      </c>
      <c r="K183" s="572" t="str">
        <f>K$52</f>
        <v>Forecast Period</v>
      </c>
    </row>
    <row r="184" spans="1:11" s="671" customFormat="1" ht="13">
      <c r="A184" s="910" t="s">
        <v>330</v>
      </c>
      <c r="B184" s="630" t="s">
        <v>192</v>
      </c>
      <c r="C184" s="630" t="s">
        <v>193</v>
      </c>
      <c r="D184" s="666" t="str">
        <f>D$53</f>
        <v>Expenditures</v>
      </c>
      <c r="E184" s="666" t="str">
        <f t="shared" ref="E184:J184" si="29">E$53</f>
        <v>Overheads</v>
      </c>
      <c r="F184" s="666" t="str">
        <f t="shared" si="29"/>
        <v>CWIP Exp</v>
      </c>
      <c r="G184" s="84" t="str">
        <f>G53</f>
        <v>Plant Adds</v>
      </c>
      <c r="H184" s="666" t="str">
        <f t="shared" si="29"/>
        <v>CWIP Closed</v>
      </c>
      <c r="I184" s="666" t="str">
        <f t="shared" si="29"/>
        <v>Closed to PIS</v>
      </c>
      <c r="J184" s="666" t="str">
        <f t="shared" si="29"/>
        <v>Period CWIP</v>
      </c>
      <c r="K184" s="666" t="str">
        <f>K$53</f>
        <v>Incremental CWIP</v>
      </c>
    </row>
    <row r="185" spans="1:11" s="671" customFormat="1" ht="13">
      <c r="A185" s="109">
        <f>A177+1</f>
        <v>133</v>
      </c>
      <c r="B185" s="631" t="s">
        <v>180</v>
      </c>
      <c r="C185" s="632">
        <v>2019</v>
      </c>
      <c r="D185" s="675" t="s">
        <v>76</v>
      </c>
      <c r="E185" s="675" t="s">
        <v>76</v>
      </c>
      <c r="F185" s="675" t="s">
        <v>76</v>
      </c>
      <c r="G185" s="675" t="s">
        <v>76</v>
      </c>
      <c r="H185" s="675" t="s">
        <v>76</v>
      </c>
      <c r="I185" s="675" t="s">
        <v>76</v>
      </c>
      <c r="J185" s="63">
        <f>H25</f>
        <v>468121962.68000001</v>
      </c>
      <c r="K185" s="675" t="s">
        <v>76</v>
      </c>
    </row>
    <row r="186" spans="1:11" s="671" customFormat="1" ht="13">
      <c r="A186" s="109">
        <f>A185+1</f>
        <v>134</v>
      </c>
      <c r="B186" s="631" t="s">
        <v>181</v>
      </c>
      <c r="C186" s="632">
        <v>2020</v>
      </c>
      <c r="D186" s="1072">
        <v>13509524.999999998</v>
      </c>
      <c r="E186" s="63">
        <f>D186*'16-PlantAdditions'!$E$103</f>
        <v>1013214.3749999998</v>
      </c>
      <c r="F186" s="63">
        <f>E186+D186</f>
        <v>14522739.374999998</v>
      </c>
      <c r="G186" s="1072">
        <v>95089</v>
      </c>
      <c r="H186" s="1072">
        <v>0</v>
      </c>
      <c r="I186" s="63">
        <f>(G186-H186)*'16-PlantAdditions'!$E$103</f>
        <v>7131.6750000000002</v>
      </c>
      <c r="J186" s="63">
        <f>J185+F186-G186-I186</f>
        <v>482542481.38</v>
      </c>
      <c r="K186" s="63">
        <f>J186-$J$185</f>
        <v>14420518.699999988</v>
      </c>
    </row>
    <row r="187" spans="1:11" s="671" customFormat="1" ht="13">
      <c r="A187" s="109">
        <f t="shared" ref="A187:A210" si="30">A186+1</f>
        <v>135</v>
      </c>
      <c r="B187" s="634" t="s">
        <v>182</v>
      </c>
      <c r="C187" s="632">
        <v>2020</v>
      </c>
      <c r="D187" s="1072">
        <v>17958037</v>
      </c>
      <c r="E187" s="63">
        <f>D187*'16-PlantAdditions'!$E$103</f>
        <v>1346852.7749999999</v>
      </c>
      <c r="F187" s="63">
        <f t="shared" ref="F187:F206" si="31">E187+D187</f>
        <v>19304889.774999999</v>
      </c>
      <c r="G187" s="1072">
        <v>299847.00000000006</v>
      </c>
      <c r="H187" s="1072">
        <v>0</v>
      </c>
      <c r="I187" s="63">
        <f>(G187-H187)*'16-PlantAdditions'!$E$103</f>
        <v>22488.525000000005</v>
      </c>
      <c r="J187" s="63">
        <f t="shared" ref="J187:J206" si="32">J186+F187-G187-I187</f>
        <v>501525035.63</v>
      </c>
      <c r="K187" s="63">
        <f t="shared" ref="K187:K209" si="33">J187-$J$185</f>
        <v>33403072.949999988</v>
      </c>
    </row>
    <row r="188" spans="1:11" s="671" customFormat="1" ht="13">
      <c r="A188" s="109">
        <f t="shared" si="30"/>
        <v>136</v>
      </c>
      <c r="B188" s="634" t="s">
        <v>195</v>
      </c>
      <c r="C188" s="632">
        <v>2020</v>
      </c>
      <c r="D188" s="1072">
        <v>11893100.999999998</v>
      </c>
      <c r="E188" s="63">
        <f>D188*'16-PlantAdditions'!$E$103</f>
        <v>891982.57499999984</v>
      </c>
      <c r="F188" s="63">
        <f t="shared" si="31"/>
        <v>12785083.574999997</v>
      </c>
      <c r="G188" s="1072">
        <v>45416.000000000007</v>
      </c>
      <c r="H188" s="1072">
        <v>0</v>
      </c>
      <c r="I188" s="63">
        <f>(G188-H188)*'16-PlantAdditions'!$E$103</f>
        <v>3406.2000000000003</v>
      </c>
      <c r="J188" s="63">
        <f t="shared" si="32"/>
        <v>514261297.005</v>
      </c>
      <c r="K188" s="63">
        <f t="shared" si="33"/>
        <v>46139334.324999988</v>
      </c>
    </row>
    <row r="189" spans="1:11" s="671" customFormat="1" ht="13">
      <c r="A189" s="109">
        <f t="shared" si="30"/>
        <v>137</v>
      </c>
      <c r="B189" s="631" t="s">
        <v>183</v>
      </c>
      <c r="C189" s="632">
        <v>2020</v>
      </c>
      <c r="D189" s="1072">
        <v>14402052</v>
      </c>
      <c r="E189" s="63">
        <f>D189*'16-PlantAdditions'!$E$103</f>
        <v>1080153.8999999999</v>
      </c>
      <c r="F189" s="63">
        <f t="shared" si="31"/>
        <v>15482205.9</v>
      </c>
      <c r="G189" s="1072">
        <v>46000</v>
      </c>
      <c r="H189" s="1072">
        <v>0</v>
      </c>
      <c r="I189" s="63">
        <f>(G189-H189)*'16-PlantAdditions'!$E$103</f>
        <v>3450</v>
      </c>
      <c r="J189" s="63">
        <f t="shared" si="32"/>
        <v>529694052.90499997</v>
      </c>
      <c r="K189" s="63">
        <f t="shared" si="33"/>
        <v>61572090.224999964</v>
      </c>
    </row>
    <row r="190" spans="1:11" s="671" customFormat="1" ht="13">
      <c r="A190" s="109">
        <f t="shared" si="30"/>
        <v>138</v>
      </c>
      <c r="B190" s="634" t="s">
        <v>184</v>
      </c>
      <c r="C190" s="632">
        <v>2020</v>
      </c>
      <c r="D190" s="1072">
        <v>13406000</v>
      </c>
      <c r="E190" s="63">
        <f>D190*'16-PlantAdditions'!$E$103</f>
        <v>1005450</v>
      </c>
      <c r="F190" s="63">
        <f t="shared" si="31"/>
        <v>14411450</v>
      </c>
      <c r="G190" s="1072">
        <v>46000</v>
      </c>
      <c r="H190" s="1072">
        <v>0</v>
      </c>
      <c r="I190" s="63">
        <f>(G190-H190)*'16-PlantAdditions'!$E$103</f>
        <v>3450</v>
      </c>
      <c r="J190" s="63">
        <f t="shared" si="32"/>
        <v>544056052.90499997</v>
      </c>
      <c r="K190" s="63">
        <f t="shared" si="33"/>
        <v>75934090.224999964</v>
      </c>
    </row>
    <row r="191" spans="1:11" s="671" customFormat="1" ht="13">
      <c r="A191" s="109">
        <f t="shared" si="30"/>
        <v>139</v>
      </c>
      <c r="B191" s="634" t="s">
        <v>1464</v>
      </c>
      <c r="C191" s="632">
        <v>2020</v>
      </c>
      <c r="D191" s="1072">
        <v>12894044</v>
      </c>
      <c r="E191" s="63">
        <f>D191*'16-PlantAdditions'!$E$103</f>
        <v>967053.29999999993</v>
      </c>
      <c r="F191" s="63">
        <f t="shared" si="31"/>
        <v>13861097.300000001</v>
      </c>
      <c r="G191" s="1072">
        <v>34044</v>
      </c>
      <c r="H191" s="1072">
        <v>0</v>
      </c>
      <c r="I191" s="63">
        <f>(G191-H191)*'16-PlantAdditions'!$E$103</f>
        <v>2553.2999999999997</v>
      </c>
      <c r="J191" s="63">
        <f t="shared" si="32"/>
        <v>557880552.90499997</v>
      </c>
      <c r="K191" s="63">
        <f t="shared" si="33"/>
        <v>89758590.224999964</v>
      </c>
    </row>
    <row r="192" spans="1:11" s="671" customFormat="1" ht="13">
      <c r="A192" s="109">
        <f t="shared" si="30"/>
        <v>140</v>
      </c>
      <c r="B192" s="631" t="s">
        <v>186</v>
      </c>
      <c r="C192" s="632">
        <v>2020</v>
      </c>
      <c r="D192" s="1072">
        <v>13176000</v>
      </c>
      <c r="E192" s="63">
        <f>D192*'16-PlantAdditions'!$E$103</f>
        <v>988200</v>
      </c>
      <c r="F192" s="63">
        <f t="shared" si="31"/>
        <v>14164200</v>
      </c>
      <c r="G192" s="1072">
        <v>16000</v>
      </c>
      <c r="H192" s="1072">
        <v>0</v>
      </c>
      <c r="I192" s="63">
        <f>(G192-H192)*'16-PlantAdditions'!$E$103</f>
        <v>1200</v>
      </c>
      <c r="J192" s="63">
        <f t="shared" si="32"/>
        <v>572027552.90499997</v>
      </c>
      <c r="K192" s="63">
        <f t="shared" si="33"/>
        <v>103905590.22499996</v>
      </c>
    </row>
    <row r="193" spans="1:11" s="671" customFormat="1" ht="13">
      <c r="A193" s="109">
        <f t="shared" si="30"/>
        <v>141</v>
      </c>
      <c r="B193" s="634" t="s">
        <v>187</v>
      </c>
      <c r="C193" s="632">
        <v>2020</v>
      </c>
      <c r="D193" s="1072">
        <v>13176000</v>
      </c>
      <c r="E193" s="63">
        <f>D193*'16-PlantAdditions'!$E$103</f>
        <v>988200</v>
      </c>
      <c r="F193" s="63">
        <f t="shared" si="31"/>
        <v>14164200</v>
      </c>
      <c r="G193" s="1072">
        <v>16000</v>
      </c>
      <c r="H193" s="1072">
        <v>0</v>
      </c>
      <c r="I193" s="63">
        <f>(G193-H193)*'16-PlantAdditions'!$E$103</f>
        <v>1200</v>
      </c>
      <c r="J193" s="63">
        <f t="shared" si="32"/>
        <v>586174552.90499997</v>
      </c>
      <c r="K193" s="63">
        <f t="shared" si="33"/>
        <v>118052590.22499996</v>
      </c>
    </row>
    <row r="194" spans="1:11" s="671" customFormat="1" ht="13">
      <c r="A194" s="109">
        <f t="shared" si="30"/>
        <v>142</v>
      </c>
      <c r="B194" s="634" t="s">
        <v>188</v>
      </c>
      <c r="C194" s="632">
        <v>2020</v>
      </c>
      <c r="D194" s="1072">
        <v>12666000</v>
      </c>
      <c r="E194" s="63">
        <f>D194*'16-PlantAdditions'!$E$103</f>
        <v>949950</v>
      </c>
      <c r="F194" s="63">
        <f t="shared" si="31"/>
        <v>13615950</v>
      </c>
      <c r="G194" s="1072">
        <v>16000</v>
      </c>
      <c r="H194" s="1072">
        <v>0</v>
      </c>
      <c r="I194" s="63">
        <f>(G194-H194)*'16-PlantAdditions'!$E$103</f>
        <v>1200</v>
      </c>
      <c r="J194" s="63">
        <f t="shared" si="32"/>
        <v>599773302.90499997</v>
      </c>
      <c r="K194" s="63">
        <f t="shared" si="33"/>
        <v>131651340.22499996</v>
      </c>
    </row>
    <row r="195" spans="1:11" s="671" customFormat="1" ht="13">
      <c r="A195" s="109">
        <f t="shared" si="30"/>
        <v>143</v>
      </c>
      <c r="B195" s="631" t="s">
        <v>191</v>
      </c>
      <c r="C195" s="632">
        <v>2020</v>
      </c>
      <c r="D195" s="1072">
        <v>12746769</v>
      </c>
      <c r="E195" s="63">
        <f>D195*'16-PlantAdditions'!$E$103</f>
        <v>956007.67499999993</v>
      </c>
      <c r="F195" s="63">
        <f t="shared" si="31"/>
        <v>13702776.675000001</v>
      </c>
      <c r="G195" s="1072">
        <v>16000</v>
      </c>
      <c r="H195" s="1072">
        <v>0</v>
      </c>
      <c r="I195" s="63">
        <f>(G195-H195)*'16-PlantAdditions'!$E$103</f>
        <v>1200</v>
      </c>
      <c r="J195" s="63">
        <f t="shared" si="32"/>
        <v>613458879.57999992</v>
      </c>
      <c r="K195" s="63">
        <f t="shared" si="33"/>
        <v>145336916.89999992</v>
      </c>
    </row>
    <row r="196" spans="1:11" s="671" customFormat="1" ht="13">
      <c r="A196" s="109">
        <f t="shared" si="30"/>
        <v>144</v>
      </c>
      <c r="B196" s="631" t="s">
        <v>190</v>
      </c>
      <c r="C196" s="632">
        <v>2020</v>
      </c>
      <c r="D196" s="1072">
        <v>9112310</v>
      </c>
      <c r="E196" s="63">
        <f>D196*'16-PlantAdditions'!$E$103</f>
        <v>683423.25</v>
      </c>
      <c r="F196" s="63">
        <f t="shared" si="31"/>
        <v>9795733.25</v>
      </c>
      <c r="G196" s="1072">
        <v>16000</v>
      </c>
      <c r="H196" s="1072">
        <v>0</v>
      </c>
      <c r="I196" s="63">
        <f>(G196-H196)*'16-PlantAdditions'!$E$103</f>
        <v>1200</v>
      </c>
      <c r="J196" s="63">
        <f t="shared" si="32"/>
        <v>623237412.82999992</v>
      </c>
      <c r="K196" s="63">
        <f t="shared" si="33"/>
        <v>155115450.14999992</v>
      </c>
    </row>
    <row r="197" spans="1:11" s="671" customFormat="1" ht="13">
      <c r="A197" s="109">
        <f t="shared" si="30"/>
        <v>145</v>
      </c>
      <c r="B197" s="631" t="s">
        <v>180</v>
      </c>
      <c r="C197" s="632">
        <v>2020</v>
      </c>
      <c r="D197" s="1072">
        <v>9083762</v>
      </c>
      <c r="E197" s="63">
        <f>D197*'16-PlantAdditions'!$E$103</f>
        <v>681282.15</v>
      </c>
      <c r="F197" s="63">
        <f t="shared" si="31"/>
        <v>9765044.1500000004</v>
      </c>
      <c r="G197" s="1072">
        <v>528372696.69999999</v>
      </c>
      <c r="H197" s="1072">
        <v>378879722.69999999</v>
      </c>
      <c r="I197" s="63">
        <f>(G197-H197)*'16-PlantAdditions'!$E$103</f>
        <v>11211973.049999999</v>
      </c>
      <c r="J197" s="63">
        <f t="shared" si="32"/>
        <v>93417787.229999915</v>
      </c>
      <c r="K197" s="63">
        <f t="shared" si="33"/>
        <v>-374704175.45000011</v>
      </c>
    </row>
    <row r="198" spans="1:11" s="671" customFormat="1" ht="13">
      <c r="A198" s="109">
        <f t="shared" si="30"/>
        <v>146</v>
      </c>
      <c r="B198" s="631" t="s">
        <v>181</v>
      </c>
      <c r="C198" s="632">
        <v>2021</v>
      </c>
      <c r="D198" s="1072">
        <v>4708000</v>
      </c>
      <c r="E198" s="63">
        <f>D198*'16-PlantAdditions'!$E$103</f>
        <v>353100</v>
      </c>
      <c r="F198" s="63">
        <f t="shared" si="31"/>
        <v>5061100</v>
      </c>
      <c r="G198" s="1072">
        <v>4508000</v>
      </c>
      <c r="H198" s="1072">
        <v>0</v>
      </c>
      <c r="I198" s="63">
        <f>(G198-H198)*'16-PlantAdditions'!$E$103</f>
        <v>338100</v>
      </c>
      <c r="J198" s="63">
        <f t="shared" si="32"/>
        <v>93632787.229999915</v>
      </c>
      <c r="K198" s="63">
        <f t="shared" si="33"/>
        <v>-374489175.45000011</v>
      </c>
    </row>
    <row r="199" spans="1:11" s="671" customFormat="1" ht="13">
      <c r="A199" s="109">
        <f t="shared" si="30"/>
        <v>147</v>
      </c>
      <c r="B199" s="634" t="s">
        <v>182</v>
      </c>
      <c r="C199" s="632">
        <v>2021</v>
      </c>
      <c r="D199" s="1072">
        <v>5510000</v>
      </c>
      <c r="E199" s="63">
        <f>D199*'16-PlantAdditions'!$E$103</f>
        <v>413250</v>
      </c>
      <c r="F199" s="63">
        <f t="shared" si="31"/>
        <v>5923250</v>
      </c>
      <c r="G199" s="1072">
        <v>5210000</v>
      </c>
      <c r="H199" s="1072">
        <v>0</v>
      </c>
      <c r="I199" s="63">
        <f>(G199-H199)*'16-PlantAdditions'!$E$103</f>
        <v>390750</v>
      </c>
      <c r="J199" s="63">
        <f t="shared" si="32"/>
        <v>93955287.229999915</v>
      </c>
      <c r="K199" s="63">
        <f t="shared" si="33"/>
        <v>-374166675.45000011</v>
      </c>
    </row>
    <row r="200" spans="1:11" s="671" customFormat="1" ht="13">
      <c r="A200" s="109">
        <f t="shared" si="30"/>
        <v>148</v>
      </c>
      <c r="B200" s="634" t="s">
        <v>195</v>
      </c>
      <c r="C200" s="632">
        <v>2021</v>
      </c>
      <c r="D200" s="1072">
        <v>6510000</v>
      </c>
      <c r="E200" s="63">
        <f>D200*'16-PlantAdditions'!$E$103</f>
        <v>488250</v>
      </c>
      <c r="F200" s="63">
        <f t="shared" si="31"/>
        <v>6998250</v>
      </c>
      <c r="G200" s="1072">
        <v>6210000</v>
      </c>
      <c r="H200" s="1072">
        <v>0</v>
      </c>
      <c r="I200" s="63">
        <f>(G200-H200)*'16-PlantAdditions'!$E$103</f>
        <v>465750</v>
      </c>
      <c r="J200" s="63">
        <f t="shared" si="32"/>
        <v>94277787.229999915</v>
      </c>
      <c r="K200" s="63">
        <f t="shared" si="33"/>
        <v>-373844175.45000011</v>
      </c>
    </row>
    <row r="201" spans="1:11" s="671" customFormat="1" ht="13">
      <c r="A201" s="109">
        <f t="shared" si="30"/>
        <v>149</v>
      </c>
      <c r="B201" s="631" t="s">
        <v>183</v>
      </c>
      <c r="C201" s="632">
        <v>2021</v>
      </c>
      <c r="D201" s="1072">
        <v>6510000</v>
      </c>
      <c r="E201" s="63">
        <f>D201*'16-PlantAdditions'!$E$103</f>
        <v>488250</v>
      </c>
      <c r="F201" s="63">
        <f t="shared" si="31"/>
        <v>6998250</v>
      </c>
      <c r="G201" s="1072">
        <v>6210000</v>
      </c>
      <c r="H201" s="1072">
        <v>0</v>
      </c>
      <c r="I201" s="63">
        <f>(G201-H201)*'16-PlantAdditions'!$E$103</f>
        <v>465750</v>
      </c>
      <c r="J201" s="63">
        <f t="shared" si="32"/>
        <v>94600287.229999915</v>
      </c>
      <c r="K201" s="63">
        <f t="shared" si="33"/>
        <v>-373521675.45000011</v>
      </c>
    </row>
    <row r="202" spans="1:11" s="671" customFormat="1" ht="13">
      <c r="A202" s="109">
        <f t="shared" si="30"/>
        <v>150</v>
      </c>
      <c r="B202" s="634" t="s">
        <v>184</v>
      </c>
      <c r="C202" s="632">
        <v>2021</v>
      </c>
      <c r="D202" s="1072">
        <v>6510000</v>
      </c>
      <c r="E202" s="63">
        <f>D202*'16-PlantAdditions'!$E$103</f>
        <v>488250</v>
      </c>
      <c r="F202" s="63">
        <f t="shared" si="31"/>
        <v>6998250</v>
      </c>
      <c r="G202" s="1072">
        <v>72332577</v>
      </c>
      <c r="H202" s="1072">
        <v>66122577.000000007</v>
      </c>
      <c r="I202" s="63">
        <f>(G202-H202)*'16-PlantAdditions'!$E$103</f>
        <v>465749.99999999942</v>
      </c>
      <c r="J202" s="63">
        <f t="shared" si="32"/>
        <v>28800210.229999915</v>
      </c>
      <c r="K202" s="63">
        <f t="shared" si="33"/>
        <v>-439321752.45000011</v>
      </c>
    </row>
    <row r="203" spans="1:11" s="671" customFormat="1" ht="13">
      <c r="A203" s="109">
        <f t="shared" si="30"/>
        <v>151</v>
      </c>
      <c r="B203" s="634" t="s">
        <v>1464</v>
      </c>
      <c r="C203" s="632">
        <v>2021</v>
      </c>
      <c r="D203" s="1072">
        <v>6400000</v>
      </c>
      <c r="E203" s="63">
        <f>D203*'16-PlantAdditions'!$E$103</f>
        <v>480000</v>
      </c>
      <c r="F203" s="63">
        <f t="shared" si="31"/>
        <v>6880000</v>
      </c>
      <c r="G203" s="1072">
        <v>6200000</v>
      </c>
      <c r="H203" s="1072">
        <v>0</v>
      </c>
      <c r="I203" s="63">
        <f>(G203-H203)*'16-PlantAdditions'!$E$103</f>
        <v>465000</v>
      </c>
      <c r="J203" s="63">
        <f t="shared" si="32"/>
        <v>29015210.229999915</v>
      </c>
      <c r="K203" s="63">
        <f t="shared" si="33"/>
        <v>-439106752.45000011</v>
      </c>
    </row>
    <row r="204" spans="1:11" s="671" customFormat="1" ht="13">
      <c r="A204" s="109">
        <f t="shared" si="30"/>
        <v>152</v>
      </c>
      <c r="B204" s="631" t="s">
        <v>186</v>
      </c>
      <c r="C204" s="632">
        <v>2021</v>
      </c>
      <c r="D204" s="1072">
        <v>4100000</v>
      </c>
      <c r="E204" s="63">
        <f>D204*'16-PlantAdditions'!$E$103</f>
        <v>307500</v>
      </c>
      <c r="F204" s="63">
        <f t="shared" si="31"/>
        <v>4407500</v>
      </c>
      <c r="G204" s="1072">
        <v>4000000</v>
      </c>
      <c r="H204" s="1072">
        <v>0</v>
      </c>
      <c r="I204" s="63">
        <f>(G204-H204)*'16-PlantAdditions'!$E$103</f>
        <v>300000</v>
      </c>
      <c r="J204" s="63">
        <f t="shared" si="32"/>
        <v>29122710.229999915</v>
      </c>
      <c r="K204" s="63">
        <f t="shared" si="33"/>
        <v>-438999252.45000011</v>
      </c>
    </row>
    <row r="205" spans="1:11" s="671" customFormat="1" ht="13">
      <c r="A205" s="109">
        <f t="shared" si="30"/>
        <v>153</v>
      </c>
      <c r="B205" s="634" t="s">
        <v>187</v>
      </c>
      <c r="C205" s="632">
        <v>2021</v>
      </c>
      <c r="D205" s="1072">
        <v>4100000</v>
      </c>
      <c r="E205" s="63">
        <f>D205*'16-PlantAdditions'!$E$103</f>
        <v>307500</v>
      </c>
      <c r="F205" s="63">
        <f t="shared" si="31"/>
        <v>4407500</v>
      </c>
      <c r="G205" s="1072">
        <v>11727887.75</v>
      </c>
      <c r="H205" s="1072">
        <v>6252887.75</v>
      </c>
      <c r="I205" s="63">
        <f>(G205-H205)*'16-PlantAdditions'!$E$103</f>
        <v>410625</v>
      </c>
      <c r="J205" s="63">
        <f t="shared" si="32"/>
        <v>21391697.479999915</v>
      </c>
      <c r="K205" s="63">
        <f t="shared" si="33"/>
        <v>-446730265.20000011</v>
      </c>
    </row>
    <row r="206" spans="1:11" s="671" customFormat="1" ht="13">
      <c r="A206" s="109">
        <f t="shared" si="30"/>
        <v>154</v>
      </c>
      <c r="B206" s="634" t="s">
        <v>188</v>
      </c>
      <c r="C206" s="632">
        <v>2021</v>
      </c>
      <c r="D206" s="1072">
        <v>3000000</v>
      </c>
      <c r="E206" s="63">
        <f>D206*'16-PlantAdditions'!$E$103</f>
        <v>225000</v>
      </c>
      <c r="F206" s="63">
        <f t="shared" si="31"/>
        <v>3225000</v>
      </c>
      <c r="G206" s="1072">
        <v>3000000</v>
      </c>
      <c r="H206" s="1072">
        <v>0</v>
      </c>
      <c r="I206" s="63">
        <f>(G206-H206)*'16-PlantAdditions'!$E$103</f>
        <v>225000</v>
      </c>
      <c r="J206" s="63">
        <f t="shared" si="32"/>
        <v>21391697.479999915</v>
      </c>
      <c r="K206" s="63">
        <f t="shared" si="33"/>
        <v>-446730265.20000011</v>
      </c>
    </row>
    <row r="207" spans="1:11" s="671" customFormat="1" ht="13">
      <c r="A207" s="109">
        <f t="shared" si="30"/>
        <v>155</v>
      </c>
      <c r="B207" s="634" t="s">
        <v>191</v>
      </c>
      <c r="C207" s="632">
        <v>2021</v>
      </c>
      <c r="D207" s="1072">
        <v>3000000</v>
      </c>
      <c r="E207" s="63">
        <f>D207*'16-PlantAdditions'!$E$103</f>
        <v>225000</v>
      </c>
      <c r="F207" s="63">
        <f>E207+D207</f>
        <v>3225000</v>
      </c>
      <c r="G207" s="1072">
        <v>8674312.6100000013</v>
      </c>
      <c r="H207" s="1072">
        <v>4965082.6100000003</v>
      </c>
      <c r="I207" s="63">
        <f>(G207-H207)*'16-PlantAdditions'!$E$103</f>
        <v>278192.25000000006</v>
      </c>
      <c r="J207" s="63">
        <f>J206+F207-G207-I207</f>
        <v>15664192.619999913</v>
      </c>
      <c r="K207" s="63">
        <f t="shared" si="33"/>
        <v>-452457770.06000012</v>
      </c>
    </row>
    <row r="208" spans="1:11" s="671" customFormat="1" ht="13">
      <c r="A208" s="109">
        <f t="shared" si="30"/>
        <v>156</v>
      </c>
      <c r="B208" s="634" t="s">
        <v>190</v>
      </c>
      <c r="C208" s="632">
        <v>2021</v>
      </c>
      <c r="D208" s="1072">
        <v>3000000</v>
      </c>
      <c r="E208" s="63">
        <f>D208*'16-PlantAdditions'!$E$103</f>
        <v>225000</v>
      </c>
      <c r="F208" s="63">
        <f>E208+D208</f>
        <v>3225000</v>
      </c>
      <c r="G208" s="1072">
        <v>3000000</v>
      </c>
      <c r="H208" s="1072">
        <v>0</v>
      </c>
      <c r="I208" s="63">
        <f>(G208-H208)*'16-PlantAdditions'!$E$103</f>
        <v>225000</v>
      </c>
      <c r="J208" s="63">
        <f>J207+F208-G208-I208</f>
        <v>15664192.619999915</v>
      </c>
      <c r="K208" s="63">
        <f t="shared" si="33"/>
        <v>-452457770.06000006</v>
      </c>
    </row>
    <row r="209" spans="1:11" s="671" customFormat="1" ht="13">
      <c r="A209" s="109">
        <f t="shared" si="30"/>
        <v>157</v>
      </c>
      <c r="B209" s="634" t="s">
        <v>180</v>
      </c>
      <c r="C209" s="632">
        <v>2021</v>
      </c>
      <c r="D209" s="1072">
        <v>2316078.9999999995</v>
      </c>
      <c r="E209" s="63">
        <f>D209*'16-PlantAdditions'!$E$103</f>
        <v>173705.92499999996</v>
      </c>
      <c r="F209" s="63">
        <f>E209+D209</f>
        <v>2489784.9249999993</v>
      </c>
      <c r="G209" s="1072">
        <v>12447277.51</v>
      </c>
      <c r="H209" s="1072">
        <v>6631198.5099999998</v>
      </c>
      <c r="I209" s="63">
        <f>(G209-H209)*'16-PlantAdditions'!$E$103</f>
        <v>436205.92499999999</v>
      </c>
      <c r="J209" s="63">
        <f>J208+F209-G209-I209</f>
        <v>5270494.1099999165</v>
      </c>
      <c r="K209" s="110">
        <f t="shared" si="33"/>
        <v>-462851468.57000011</v>
      </c>
    </row>
    <row r="210" spans="1:11" s="671" customFormat="1" ht="13">
      <c r="A210" s="109">
        <f t="shared" si="30"/>
        <v>158</v>
      </c>
      <c r="B210"/>
      <c r="C210" s="670" t="s">
        <v>1614</v>
      </c>
      <c r="D210"/>
      <c r="E210"/>
      <c r="F210"/>
      <c r="G210"/>
      <c r="H210"/>
      <c r="I210"/>
      <c r="J210"/>
      <c r="K210" s="73">
        <f>AVERAGE(K197:K209)</f>
        <v>-419183167.20692325</v>
      </c>
    </row>
    <row r="211" spans="1:11" s="671" customFormat="1" ht="13">
      <c r="A211" s="109"/>
      <c r="B211"/>
      <c r="C211" s="670"/>
      <c r="D211"/>
      <c r="E211"/>
      <c r="F211"/>
      <c r="G211"/>
      <c r="H211"/>
      <c r="I211"/>
      <c r="J211"/>
      <c r="K211" s="73"/>
    </row>
    <row r="212" spans="1:11" s="671" customFormat="1" ht="13">
      <c r="B212" s="672" t="s">
        <v>1943</v>
      </c>
      <c r="D212" s="1396" t="s">
        <v>541</v>
      </c>
      <c r="E212" s="1396"/>
    </row>
    <row r="213" spans="1:11" s="671" customFormat="1" ht="13">
      <c r="D213" s="673"/>
      <c r="E213" s="673"/>
      <c r="F213" s="673"/>
      <c r="G213" s="572" t="str">
        <f>G51</f>
        <v>Unloaded</v>
      </c>
      <c r="H213" s="673"/>
      <c r="I213" s="673"/>
    </row>
    <row r="214" spans="1:11" s="671" customFormat="1" ht="13">
      <c r="A214" s="668"/>
      <c r="B214" s="668"/>
      <c r="C214" s="668"/>
      <c r="D214" s="668" t="str">
        <f>D$52</f>
        <v>Forecast</v>
      </c>
      <c r="E214" s="668" t="str">
        <f t="shared" ref="E214:J214" si="34">E$52</f>
        <v>Corporate</v>
      </c>
      <c r="F214" s="668" t="str">
        <f t="shared" si="34"/>
        <v xml:space="preserve">Total </v>
      </c>
      <c r="G214" s="572" t="str">
        <f>G52</f>
        <v>Total</v>
      </c>
      <c r="H214" s="668" t="str">
        <f t="shared" si="34"/>
        <v>Prior Period</v>
      </c>
      <c r="I214" s="668" t="str">
        <f t="shared" si="34"/>
        <v>Over Heads</v>
      </c>
      <c r="J214" s="668" t="str">
        <f t="shared" si="34"/>
        <v>Forecast</v>
      </c>
      <c r="K214" s="572" t="str">
        <f>K$52</f>
        <v>Forecast Period</v>
      </c>
    </row>
    <row r="215" spans="1:11" s="671" customFormat="1" ht="13">
      <c r="A215" s="910" t="s">
        <v>330</v>
      </c>
      <c r="B215" s="630" t="s">
        <v>192</v>
      </c>
      <c r="C215" s="630" t="s">
        <v>193</v>
      </c>
      <c r="D215" s="666" t="str">
        <f>D$53</f>
        <v>Expenditures</v>
      </c>
      <c r="E215" s="666" t="str">
        <f t="shared" ref="E215:J215" si="35">E$53</f>
        <v>Overheads</v>
      </c>
      <c r="F215" s="666" t="str">
        <f t="shared" si="35"/>
        <v>CWIP Exp</v>
      </c>
      <c r="G215" s="3" t="str">
        <f>G53</f>
        <v>Plant Adds</v>
      </c>
      <c r="H215" s="666" t="str">
        <f t="shared" si="35"/>
        <v>CWIP Closed</v>
      </c>
      <c r="I215" s="666" t="str">
        <f t="shared" si="35"/>
        <v>Closed to PIS</v>
      </c>
      <c r="J215" s="666" t="str">
        <f t="shared" si="35"/>
        <v>Period CWIP</v>
      </c>
      <c r="K215" s="666" t="str">
        <f>K$53</f>
        <v>Incremental CWIP</v>
      </c>
    </row>
    <row r="216" spans="1:11" s="671" customFormat="1" ht="13">
      <c r="A216" s="109">
        <f>A210+1</f>
        <v>159</v>
      </c>
      <c r="B216" s="631" t="s">
        <v>180</v>
      </c>
      <c r="C216" s="632">
        <v>2019</v>
      </c>
      <c r="D216" s="675" t="s">
        <v>76</v>
      </c>
      <c r="E216" s="675" t="s">
        <v>76</v>
      </c>
      <c r="F216" s="675" t="s">
        <v>76</v>
      </c>
      <c r="G216" s="675" t="s">
        <v>76</v>
      </c>
      <c r="H216" s="675" t="s">
        <v>76</v>
      </c>
      <c r="I216" s="675" t="s">
        <v>76</v>
      </c>
      <c r="J216" s="63">
        <f>I25</f>
        <v>0</v>
      </c>
      <c r="K216" s="675" t="s">
        <v>76</v>
      </c>
    </row>
    <row r="217" spans="1:11" s="671" customFormat="1" ht="13">
      <c r="A217" s="109">
        <f>A216+1</f>
        <v>160</v>
      </c>
      <c r="B217" s="631" t="s">
        <v>181</v>
      </c>
      <c r="C217" s="632">
        <v>2020</v>
      </c>
      <c r="D217" s="1072">
        <v>0</v>
      </c>
      <c r="E217" s="63">
        <f>D217*'16-PlantAdditions'!$E$103</f>
        <v>0</v>
      </c>
      <c r="F217" s="63">
        <f>E217+D217</f>
        <v>0</v>
      </c>
      <c r="G217" s="1072">
        <v>0</v>
      </c>
      <c r="H217" s="1072">
        <v>0</v>
      </c>
      <c r="I217" s="63">
        <f>(G217-H217)*'16-PlantAdditions'!$E$103</f>
        <v>0</v>
      </c>
      <c r="J217" s="63">
        <f>J216+F217-G217-I217</f>
        <v>0</v>
      </c>
      <c r="K217" s="63">
        <f>J217-$J$216</f>
        <v>0</v>
      </c>
    </row>
    <row r="218" spans="1:11" s="671" customFormat="1" ht="13">
      <c r="A218" s="109">
        <f t="shared" ref="A218:A241" si="36">A217+1</f>
        <v>161</v>
      </c>
      <c r="B218" s="634" t="s">
        <v>182</v>
      </c>
      <c r="C218" s="632">
        <v>2020</v>
      </c>
      <c r="D218" s="1072">
        <v>0</v>
      </c>
      <c r="E218" s="63">
        <f>D218*'16-PlantAdditions'!$E$103</f>
        <v>0</v>
      </c>
      <c r="F218" s="63">
        <f t="shared" ref="F218:F237" si="37">E218+D218</f>
        <v>0</v>
      </c>
      <c r="G218" s="1072">
        <v>0</v>
      </c>
      <c r="H218" s="1072">
        <v>0</v>
      </c>
      <c r="I218" s="63">
        <f>(G218-H218)*'16-PlantAdditions'!$E$103</f>
        <v>0</v>
      </c>
      <c r="J218" s="63">
        <f t="shared" ref="J218:J237" si="38">J217+F218-G218-I218</f>
        <v>0</v>
      </c>
      <c r="K218" s="63">
        <f t="shared" ref="K218:K240" si="39">J218-$J$216</f>
        <v>0</v>
      </c>
    </row>
    <row r="219" spans="1:11" s="671" customFormat="1" ht="13">
      <c r="A219" s="109">
        <f t="shared" si="36"/>
        <v>162</v>
      </c>
      <c r="B219" s="634" t="s">
        <v>195</v>
      </c>
      <c r="C219" s="632">
        <v>2020</v>
      </c>
      <c r="D219" s="1072">
        <v>0</v>
      </c>
      <c r="E219" s="63">
        <f>D219*'16-PlantAdditions'!$E$103</f>
        <v>0</v>
      </c>
      <c r="F219" s="63">
        <f t="shared" si="37"/>
        <v>0</v>
      </c>
      <c r="G219" s="1072">
        <v>0</v>
      </c>
      <c r="H219" s="1072">
        <v>0</v>
      </c>
      <c r="I219" s="63">
        <f>(G219-H219)*'16-PlantAdditions'!$E$103</f>
        <v>0</v>
      </c>
      <c r="J219" s="63">
        <f t="shared" si="38"/>
        <v>0</v>
      </c>
      <c r="K219" s="63">
        <f t="shared" si="39"/>
        <v>0</v>
      </c>
    </row>
    <row r="220" spans="1:11" s="671" customFormat="1" ht="13">
      <c r="A220" s="109">
        <f t="shared" si="36"/>
        <v>163</v>
      </c>
      <c r="B220" s="631" t="s">
        <v>183</v>
      </c>
      <c r="C220" s="632">
        <v>2020</v>
      </c>
      <c r="D220" s="1072">
        <v>0</v>
      </c>
      <c r="E220" s="63">
        <f>D220*'16-PlantAdditions'!$E$103</f>
        <v>0</v>
      </c>
      <c r="F220" s="63">
        <f t="shared" si="37"/>
        <v>0</v>
      </c>
      <c r="G220" s="1072">
        <v>0</v>
      </c>
      <c r="H220" s="1072">
        <v>0</v>
      </c>
      <c r="I220" s="63">
        <f>(G220-H220)*'16-PlantAdditions'!$E$103</f>
        <v>0</v>
      </c>
      <c r="J220" s="63">
        <f t="shared" si="38"/>
        <v>0</v>
      </c>
      <c r="K220" s="63">
        <f t="shared" si="39"/>
        <v>0</v>
      </c>
    </row>
    <row r="221" spans="1:11" s="671" customFormat="1" ht="13">
      <c r="A221" s="109">
        <f t="shared" si="36"/>
        <v>164</v>
      </c>
      <c r="B221" s="634" t="s">
        <v>184</v>
      </c>
      <c r="C221" s="632">
        <v>2020</v>
      </c>
      <c r="D221" s="1072">
        <v>0</v>
      </c>
      <c r="E221" s="63">
        <f>D221*'16-PlantAdditions'!$E$103</f>
        <v>0</v>
      </c>
      <c r="F221" s="63">
        <f t="shared" si="37"/>
        <v>0</v>
      </c>
      <c r="G221" s="1072">
        <v>0</v>
      </c>
      <c r="H221" s="1072">
        <v>0</v>
      </c>
      <c r="I221" s="63">
        <f>(G221-H221)*'16-PlantAdditions'!$E$103</f>
        <v>0</v>
      </c>
      <c r="J221" s="63">
        <f t="shared" si="38"/>
        <v>0</v>
      </c>
      <c r="K221" s="63">
        <f t="shared" si="39"/>
        <v>0</v>
      </c>
    </row>
    <row r="222" spans="1:11" s="671" customFormat="1" ht="13">
      <c r="A222" s="109">
        <f t="shared" si="36"/>
        <v>165</v>
      </c>
      <c r="B222" s="634" t="s">
        <v>1464</v>
      </c>
      <c r="C222" s="632">
        <v>2020</v>
      </c>
      <c r="D222" s="1072">
        <v>0</v>
      </c>
      <c r="E222" s="63">
        <f>D222*'16-PlantAdditions'!$E$103</f>
        <v>0</v>
      </c>
      <c r="F222" s="63">
        <f t="shared" si="37"/>
        <v>0</v>
      </c>
      <c r="G222" s="1072">
        <v>0</v>
      </c>
      <c r="H222" s="1072">
        <v>0</v>
      </c>
      <c r="I222" s="63">
        <f>(G222-H222)*'16-PlantAdditions'!$E$103</f>
        <v>0</v>
      </c>
      <c r="J222" s="63">
        <f t="shared" si="38"/>
        <v>0</v>
      </c>
      <c r="K222" s="63">
        <f t="shared" si="39"/>
        <v>0</v>
      </c>
    </row>
    <row r="223" spans="1:11" s="671" customFormat="1" ht="13">
      <c r="A223" s="109">
        <f t="shared" si="36"/>
        <v>166</v>
      </c>
      <c r="B223" s="631" t="s">
        <v>186</v>
      </c>
      <c r="C223" s="632">
        <v>2020</v>
      </c>
      <c r="D223" s="1072">
        <v>0</v>
      </c>
      <c r="E223" s="63">
        <f>D223*'16-PlantAdditions'!$E$103</f>
        <v>0</v>
      </c>
      <c r="F223" s="63">
        <f t="shared" si="37"/>
        <v>0</v>
      </c>
      <c r="G223" s="1072">
        <v>0</v>
      </c>
      <c r="H223" s="1072">
        <v>0</v>
      </c>
      <c r="I223" s="63">
        <f>(G223-H223)*'16-PlantAdditions'!$E$103</f>
        <v>0</v>
      </c>
      <c r="J223" s="63">
        <f t="shared" si="38"/>
        <v>0</v>
      </c>
      <c r="K223" s="63">
        <f t="shared" si="39"/>
        <v>0</v>
      </c>
    </row>
    <row r="224" spans="1:11" s="671" customFormat="1" ht="13">
      <c r="A224" s="109">
        <f t="shared" si="36"/>
        <v>167</v>
      </c>
      <c r="B224" s="634" t="s">
        <v>187</v>
      </c>
      <c r="C224" s="632">
        <v>2020</v>
      </c>
      <c r="D224" s="1072">
        <v>0</v>
      </c>
      <c r="E224" s="63">
        <f>D224*'16-PlantAdditions'!$E$103</f>
        <v>0</v>
      </c>
      <c r="F224" s="63">
        <f t="shared" si="37"/>
        <v>0</v>
      </c>
      <c r="G224" s="1072">
        <v>0</v>
      </c>
      <c r="H224" s="1072">
        <v>0</v>
      </c>
      <c r="I224" s="63">
        <f>(G224-H224)*'16-PlantAdditions'!$E$103</f>
        <v>0</v>
      </c>
      <c r="J224" s="63">
        <f t="shared" si="38"/>
        <v>0</v>
      </c>
      <c r="K224" s="63">
        <f t="shared" si="39"/>
        <v>0</v>
      </c>
    </row>
    <row r="225" spans="1:11" s="671" customFormat="1" ht="13">
      <c r="A225" s="109">
        <f t="shared" si="36"/>
        <v>168</v>
      </c>
      <c r="B225" s="634" t="s">
        <v>188</v>
      </c>
      <c r="C225" s="632">
        <v>2020</v>
      </c>
      <c r="D225" s="1072">
        <v>0</v>
      </c>
      <c r="E225" s="63">
        <f>D225*'16-PlantAdditions'!$E$103</f>
        <v>0</v>
      </c>
      <c r="F225" s="63">
        <f t="shared" si="37"/>
        <v>0</v>
      </c>
      <c r="G225" s="1072">
        <v>0</v>
      </c>
      <c r="H225" s="1072">
        <v>0</v>
      </c>
      <c r="I225" s="63">
        <f>(G225-H225)*'16-PlantAdditions'!$E$103</f>
        <v>0</v>
      </c>
      <c r="J225" s="63">
        <f t="shared" si="38"/>
        <v>0</v>
      </c>
      <c r="K225" s="63">
        <f t="shared" si="39"/>
        <v>0</v>
      </c>
    </row>
    <row r="226" spans="1:11" s="671" customFormat="1" ht="13">
      <c r="A226" s="109">
        <f t="shared" si="36"/>
        <v>169</v>
      </c>
      <c r="B226" s="631" t="s">
        <v>191</v>
      </c>
      <c r="C226" s="632">
        <v>2020</v>
      </c>
      <c r="D226" s="1072">
        <v>0</v>
      </c>
      <c r="E226" s="63">
        <f>D226*'16-PlantAdditions'!$E$103</f>
        <v>0</v>
      </c>
      <c r="F226" s="63">
        <f t="shared" si="37"/>
        <v>0</v>
      </c>
      <c r="G226" s="1072">
        <v>0</v>
      </c>
      <c r="H226" s="1072">
        <v>0</v>
      </c>
      <c r="I226" s="63">
        <f>(G226-H226)*'16-PlantAdditions'!$E$103</f>
        <v>0</v>
      </c>
      <c r="J226" s="63">
        <f t="shared" si="38"/>
        <v>0</v>
      </c>
      <c r="K226" s="63">
        <f t="shared" si="39"/>
        <v>0</v>
      </c>
    </row>
    <row r="227" spans="1:11" s="671" customFormat="1" ht="13">
      <c r="A227" s="109">
        <f t="shared" si="36"/>
        <v>170</v>
      </c>
      <c r="B227" s="631" t="s">
        <v>190</v>
      </c>
      <c r="C227" s="632">
        <v>2020</v>
      </c>
      <c r="D227" s="1072">
        <v>0</v>
      </c>
      <c r="E227" s="63">
        <f>D227*'16-PlantAdditions'!$E$103</f>
        <v>0</v>
      </c>
      <c r="F227" s="63">
        <f t="shared" si="37"/>
        <v>0</v>
      </c>
      <c r="G227" s="1072">
        <v>0</v>
      </c>
      <c r="H227" s="1072">
        <v>0</v>
      </c>
      <c r="I227" s="63">
        <f>(G227-H227)*'16-PlantAdditions'!$E$103</f>
        <v>0</v>
      </c>
      <c r="J227" s="63">
        <f t="shared" si="38"/>
        <v>0</v>
      </c>
      <c r="K227" s="63">
        <f t="shared" si="39"/>
        <v>0</v>
      </c>
    </row>
    <row r="228" spans="1:11" s="671" customFormat="1" ht="13">
      <c r="A228" s="109">
        <f t="shared" si="36"/>
        <v>171</v>
      </c>
      <c r="B228" s="631" t="s">
        <v>180</v>
      </c>
      <c r="C228" s="632">
        <v>2020</v>
      </c>
      <c r="D228" s="1072">
        <v>0</v>
      </c>
      <c r="E228" s="63">
        <f>D228*'16-PlantAdditions'!$E$103</f>
        <v>0</v>
      </c>
      <c r="F228" s="63">
        <f t="shared" si="37"/>
        <v>0</v>
      </c>
      <c r="G228" s="1072">
        <v>0</v>
      </c>
      <c r="H228" s="1072">
        <v>0</v>
      </c>
      <c r="I228" s="63">
        <f>(G228-H228)*'16-PlantAdditions'!$E$103</f>
        <v>0</v>
      </c>
      <c r="J228" s="63">
        <f t="shared" si="38"/>
        <v>0</v>
      </c>
      <c r="K228" s="63">
        <f t="shared" si="39"/>
        <v>0</v>
      </c>
    </row>
    <row r="229" spans="1:11" s="671" customFormat="1" ht="13">
      <c r="A229" s="109">
        <f t="shared" si="36"/>
        <v>172</v>
      </c>
      <c r="B229" s="631" t="s">
        <v>181</v>
      </c>
      <c r="C229" s="632">
        <v>2021</v>
      </c>
      <c r="D229" s="1072">
        <v>0</v>
      </c>
      <c r="E229" s="63">
        <f>D229*'16-PlantAdditions'!$E$103</f>
        <v>0</v>
      </c>
      <c r="F229" s="63">
        <f t="shared" si="37"/>
        <v>0</v>
      </c>
      <c r="G229" s="1072">
        <v>0</v>
      </c>
      <c r="H229" s="1072">
        <v>0</v>
      </c>
      <c r="I229" s="63">
        <f>(G229-H229)*'16-PlantAdditions'!$E$103</f>
        <v>0</v>
      </c>
      <c r="J229" s="63">
        <f t="shared" si="38"/>
        <v>0</v>
      </c>
      <c r="K229" s="63">
        <f t="shared" si="39"/>
        <v>0</v>
      </c>
    </row>
    <row r="230" spans="1:11" s="671" customFormat="1" ht="13">
      <c r="A230" s="109">
        <f t="shared" si="36"/>
        <v>173</v>
      </c>
      <c r="B230" s="634" t="s">
        <v>182</v>
      </c>
      <c r="C230" s="632">
        <v>2021</v>
      </c>
      <c r="D230" s="1072">
        <v>0</v>
      </c>
      <c r="E230" s="63">
        <f>D230*'16-PlantAdditions'!$E$103</f>
        <v>0</v>
      </c>
      <c r="F230" s="63">
        <f t="shared" si="37"/>
        <v>0</v>
      </c>
      <c r="G230" s="1072">
        <v>0</v>
      </c>
      <c r="H230" s="1072">
        <v>0</v>
      </c>
      <c r="I230" s="63">
        <f>(G230-H230)*'16-PlantAdditions'!$E$103</f>
        <v>0</v>
      </c>
      <c r="J230" s="63">
        <f t="shared" si="38"/>
        <v>0</v>
      </c>
      <c r="K230" s="63">
        <f t="shared" si="39"/>
        <v>0</v>
      </c>
    </row>
    <row r="231" spans="1:11" s="671" customFormat="1" ht="13">
      <c r="A231" s="109">
        <f t="shared" si="36"/>
        <v>174</v>
      </c>
      <c r="B231" s="634" t="s">
        <v>195</v>
      </c>
      <c r="C231" s="632">
        <v>2021</v>
      </c>
      <c r="D231" s="1072">
        <v>0</v>
      </c>
      <c r="E231" s="63">
        <f>D231*'16-PlantAdditions'!$E$103</f>
        <v>0</v>
      </c>
      <c r="F231" s="63">
        <f t="shared" si="37"/>
        <v>0</v>
      </c>
      <c r="G231" s="1072">
        <v>0</v>
      </c>
      <c r="H231" s="1072">
        <v>0</v>
      </c>
      <c r="I231" s="63">
        <f>(G231-H231)*'16-PlantAdditions'!$E$103</f>
        <v>0</v>
      </c>
      <c r="J231" s="63">
        <f t="shared" si="38"/>
        <v>0</v>
      </c>
      <c r="K231" s="63">
        <f t="shared" si="39"/>
        <v>0</v>
      </c>
    </row>
    <row r="232" spans="1:11" s="671" customFormat="1" ht="13">
      <c r="A232" s="109">
        <f t="shared" si="36"/>
        <v>175</v>
      </c>
      <c r="B232" s="631" t="s">
        <v>183</v>
      </c>
      <c r="C232" s="632">
        <v>2021</v>
      </c>
      <c r="D232" s="1072">
        <v>0</v>
      </c>
      <c r="E232" s="63">
        <f>D232*'16-PlantAdditions'!$E$103</f>
        <v>0</v>
      </c>
      <c r="F232" s="63">
        <f t="shared" si="37"/>
        <v>0</v>
      </c>
      <c r="G232" s="1072">
        <v>0</v>
      </c>
      <c r="H232" s="1072">
        <v>0</v>
      </c>
      <c r="I232" s="63">
        <f>(G232-H232)*'16-PlantAdditions'!$E$103</f>
        <v>0</v>
      </c>
      <c r="J232" s="63">
        <f t="shared" si="38"/>
        <v>0</v>
      </c>
      <c r="K232" s="63">
        <f t="shared" si="39"/>
        <v>0</v>
      </c>
    </row>
    <row r="233" spans="1:11" s="671" customFormat="1" ht="13">
      <c r="A233" s="109">
        <f t="shared" si="36"/>
        <v>176</v>
      </c>
      <c r="B233" s="634" t="s">
        <v>184</v>
      </c>
      <c r="C233" s="632">
        <v>2021</v>
      </c>
      <c r="D233" s="1072">
        <v>0</v>
      </c>
      <c r="E233" s="63">
        <f>D233*'16-PlantAdditions'!$E$103</f>
        <v>0</v>
      </c>
      <c r="F233" s="63">
        <f t="shared" si="37"/>
        <v>0</v>
      </c>
      <c r="G233" s="1072">
        <v>0</v>
      </c>
      <c r="H233" s="1072">
        <v>0</v>
      </c>
      <c r="I233" s="63">
        <f>(G233-H233)*'16-PlantAdditions'!$E$103</f>
        <v>0</v>
      </c>
      <c r="J233" s="63">
        <f t="shared" si="38"/>
        <v>0</v>
      </c>
      <c r="K233" s="63">
        <f t="shared" si="39"/>
        <v>0</v>
      </c>
    </row>
    <row r="234" spans="1:11" s="671" customFormat="1" ht="13">
      <c r="A234" s="109">
        <f t="shared" si="36"/>
        <v>177</v>
      </c>
      <c r="B234" s="634" t="s">
        <v>1464</v>
      </c>
      <c r="C234" s="632">
        <v>2021</v>
      </c>
      <c r="D234" s="1072">
        <v>0</v>
      </c>
      <c r="E234" s="63">
        <f>D234*'16-PlantAdditions'!$E$103</f>
        <v>0</v>
      </c>
      <c r="F234" s="63">
        <f t="shared" si="37"/>
        <v>0</v>
      </c>
      <c r="G234" s="1072">
        <v>0</v>
      </c>
      <c r="H234" s="1072">
        <v>0</v>
      </c>
      <c r="I234" s="63">
        <f>(G234-H234)*'16-PlantAdditions'!$E$103</f>
        <v>0</v>
      </c>
      <c r="J234" s="63">
        <f t="shared" si="38"/>
        <v>0</v>
      </c>
      <c r="K234" s="63">
        <f t="shared" si="39"/>
        <v>0</v>
      </c>
    </row>
    <row r="235" spans="1:11" s="671" customFormat="1" ht="13">
      <c r="A235" s="109">
        <f t="shared" si="36"/>
        <v>178</v>
      </c>
      <c r="B235" s="631" t="s">
        <v>186</v>
      </c>
      <c r="C235" s="632">
        <v>2021</v>
      </c>
      <c r="D235" s="1072">
        <v>0</v>
      </c>
      <c r="E235" s="63">
        <f>D235*'16-PlantAdditions'!$E$103</f>
        <v>0</v>
      </c>
      <c r="F235" s="63">
        <f t="shared" si="37"/>
        <v>0</v>
      </c>
      <c r="G235" s="1072">
        <v>0</v>
      </c>
      <c r="H235" s="1072">
        <v>0</v>
      </c>
      <c r="I235" s="63">
        <f>(G235-H235)*'16-PlantAdditions'!$E$103</f>
        <v>0</v>
      </c>
      <c r="J235" s="63">
        <f t="shared" si="38"/>
        <v>0</v>
      </c>
      <c r="K235" s="63">
        <f t="shared" si="39"/>
        <v>0</v>
      </c>
    </row>
    <row r="236" spans="1:11" s="671" customFormat="1" ht="13">
      <c r="A236" s="109">
        <f t="shared" si="36"/>
        <v>179</v>
      </c>
      <c r="B236" s="634" t="s">
        <v>187</v>
      </c>
      <c r="C236" s="632">
        <v>2021</v>
      </c>
      <c r="D236" s="1072">
        <v>0</v>
      </c>
      <c r="E236" s="63">
        <f>D236*'16-PlantAdditions'!$E$103</f>
        <v>0</v>
      </c>
      <c r="F236" s="63">
        <f t="shared" si="37"/>
        <v>0</v>
      </c>
      <c r="G236" s="1072">
        <v>0</v>
      </c>
      <c r="H236" s="1072">
        <v>0</v>
      </c>
      <c r="I236" s="63">
        <f>(G236-H236)*'16-PlantAdditions'!$E$103</f>
        <v>0</v>
      </c>
      <c r="J236" s="63">
        <f t="shared" si="38"/>
        <v>0</v>
      </c>
      <c r="K236" s="63">
        <f t="shared" si="39"/>
        <v>0</v>
      </c>
    </row>
    <row r="237" spans="1:11" s="671" customFormat="1" ht="13">
      <c r="A237" s="109">
        <f t="shared" si="36"/>
        <v>180</v>
      </c>
      <c r="B237" s="634" t="s">
        <v>188</v>
      </c>
      <c r="C237" s="632">
        <v>2021</v>
      </c>
      <c r="D237" s="1072">
        <v>0</v>
      </c>
      <c r="E237" s="63">
        <f>D237*'16-PlantAdditions'!$E$103</f>
        <v>0</v>
      </c>
      <c r="F237" s="63">
        <f t="shared" si="37"/>
        <v>0</v>
      </c>
      <c r="G237" s="1072">
        <v>0</v>
      </c>
      <c r="H237" s="1072">
        <v>0</v>
      </c>
      <c r="I237" s="63">
        <f>(G237-H237)*'16-PlantAdditions'!$E$103</f>
        <v>0</v>
      </c>
      <c r="J237" s="63">
        <f t="shared" si="38"/>
        <v>0</v>
      </c>
      <c r="K237" s="63">
        <f t="shared" si="39"/>
        <v>0</v>
      </c>
    </row>
    <row r="238" spans="1:11" s="671" customFormat="1" ht="13">
      <c r="A238" s="109">
        <f t="shared" si="36"/>
        <v>181</v>
      </c>
      <c r="B238" s="634" t="s">
        <v>191</v>
      </c>
      <c r="C238" s="632">
        <v>2021</v>
      </c>
      <c r="D238" s="1072">
        <v>0</v>
      </c>
      <c r="E238" s="63">
        <f>D238*'16-PlantAdditions'!$E$103</f>
        <v>0</v>
      </c>
      <c r="F238" s="63">
        <f>E238+D238</f>
        <v>0</v>
      </c>
      <c r="G238" s="1072">
        <v>0</v>
      </c>
      <c r="H238" s="1072">
        <v>0</v>
      </c>
      <c r="I238" s="63">
        <f>(G238-H238)*'16-PlantAdditions'!$E$103</f>
        <v>0</v>
      </c>
      <c r="J238" s="63">
        <f>J237+F238-G238-I238</f>
        <v>0</v>
      </c>
      <c r="K238" s="63">
        <f t="shared" si="39"/>
        <v>0</v>
      </c>
    </row>
    <row r="239" spans="1:11" s="671" customFormat="1" ht="13">
      <c r="A239" s="109">
        <f t="shared" si="36"/>
        <v>182</v>
      </c>
      <c r="B239" s="634" t="s">
        <v>190</v>
      </c>
      <c r="C239" s="632">
        <v>2021</v>
      </c>
      <c r="D239" s="1072">
        <v>0</v>
      </c>
      <c r="E239" s="63">
        <f>D239*'16-PlantAdditions'!$E$103</f>
        <v>0</v>
      </c>
      <c r="F239" s="63">
        <f>E239+D239</f>
        <v>0</v>
      </c>
      <c r="G239" s="1072">
        <v>0</v>
      </c>
      <c r="H239" s="1072">
        <v>0</v>
      </c>
      <c r="I239" s="63">
        <f>(G239-H239)*'16-PlantAdditions'!$E$103</f>
        <v>0</v>
      </c>
      <c r="J239" s="63">
        <f>J238+F239-G239-I239</f>
        <v>0</v>
      </c>
      <c r="K239" s="63">
        <f t="shared" si="39"/>
        <v>0</v>
      </c>
    </row>
    <row r="240" spans="1:11" s="671" customFormat="1" ht="13">
      <c r="A240" s="109">
        <f t="shared" si="36"/>
        <v>183</v>
      </c>
      <c r="B240" s="634" t="s">
        <v>180</v>
      </c>
      <c r="C240" s="632">
        <v>2021</v>
      </c>
      <c r="D240" s="1072">
        <v>0</v>
      </c>
      <c r="E240" s="63">
        <f>D240*'16-PlantAdditions'!$E$103</f>
        <v>0</v>
      </c>
      <c r="F240" s="63">
        <f>E240+D240</f>
        <v>0</v>
      </c>
      <c r="G240" s="1072">
        <v>0</v>
      </c>
      <c r="H240" s="1072">
        <v>0</v>
      </c>
      <c r="I240" s="63">
        <f>(G240-H240)*'16-PlantAdditions'!$E$103</f>
        <v>0</v>
      </c>
      <c r="J240" s="63">
        <f>J239+F240-G240-I240</f>
        <v>0</v>
      </c>
      <c r="K240" s="110">
        <f t="shared" si="39"/>
        <v>0</v>
      </c>
    </row>
    <row r="241" spans="1:11" s="671" customFormat="1" ht="13">
      <c r="A241" s="109">
        <f t="shared" si="36"/>
        <v>184</v>
      </c>
      <c r="B241"/>
      <c r="C241" s="670" t="s">
        <v>1614</v>
      </c>
      <c r="D241"/>
      <c r="E241"/>
      <c r="F241"/>
      <c r="G241"/>
      <c r="H241"/>
      <c r="I241"/>
      <c r="J241"/>
      <c r="K241" s="73">
        <f>AVERAGE(K228:K240)</f>
        <v>0</v>
      </c>
    </row>
    <row r="242" spans="1:11" s="671" customFormat="1" ht="13">
      <c r="A242" s="109"/>
      <c r="B242"/>
      <c r="C242" s="670"/>
      <c r="D242"/>
      <c r="E242"/>
      <c r="F242"/>
      <c r="G242"/>
      <c r="H242"/>
      <c r="I242"/>
      <c r="J242"/>
      <c r="K242" s="73"/>
    </row>
    <row r="243" spans="1:11" s="671" customFormat="1" ht="13">
      <c r="B243" s="672" t="s">
        <v>1944</v>
      </c>
      <c r="D243" s="1396" t="s">
        <v>2799</v>
      </c>
      <c r="E243" s="1396"/>
    </row>
    <row r="244" spans="1:11" s="671" customFormat="1" ht="13">
      <c r="A244" s="666"/>
      <c r="B244" s="666"/>
      <c r="C244" s="666"/>
      <c r="D244" s="666" t="s">
        <v>359</v>
      </c>
      <c r="E244" s="666" t="s">
        <v>343</v>
      </c>
      <c r="F244" s="666" t="s">
        <v>344</v>
      </c>
      <c r="G244" s="666" t="s">
        <v>345</v>
      </c>
      <c r="H244" s="666" t="s">
        <v>346</v>
      </c>
      <c r="I244" s="666" t="s">
        <v>347</v>
      </c>
      <c r="J244" s="666" t="s">
        <v>348</v>
      </c>
      <c r="K244" s="666" t="s">
        <v>537</v>
      </c>
    </row>
    <row r="245" spans="1:11" s="671" customFormat="1" ht="25.5">
      <c r="D245" s="673"/>
      <c r="E245" s="674" t="s">
        <v>2069</v>
      </c>
      <c r="F245" s="675" t="s">
        <v>1937</v>
      </c>
      <c r="G245" s="485"/>
      <c r="H245" s="673"/>
      <c r="I245" s="674" t="s">
        <v>2070</v>
      </c>
      <c r="J245" s="674" t="s">
        <v>1938</v>
      </c>
      <c r="K245" s="674" t="s">
        <v>1939</v>
      </c>
    </row>
    <row r="246" spans="1:11" s="671" customFormat="1" ht="13">
      <c r="D246" s="673"/>
      <c r="E246" s="673"/>
      <c r="F246" s="673"/>
      <c r="G246" s="572" t="s">
        <v>1945</v>
      </c>
      <c r="H246" s="673"/>
      <c r="I246" s="673"/>
    </row>
    <row r="247" spans="1:11" s="671" customFormat="1" ht="13">
      <c r="A247" s="668"/>
      <c r="B247" s="668"/>
      <c r="C247" s="668"/>
      <c r="D247" s="668" t="str">
        <f>D$52</f>
        <v>Forecast</v>
      </c>
      <c r="E247" s="668" t="str">
        <f t="shared" ref="E247:J247" si="40">E$52</f>
        <v>Corporate</v>
      </c>
      <c r="F247" s="668" t="str">
        <f t="shared" si="40"/>
        <v xml:space="preserve">Total </v>
      </c>
      <c r="G247" s="668" t="s">
        <v>196</v>
      </c>
      <c r="H247" s="668" t="str">
        <f t="shared" si="40"/>
        <v>Prior Period</v>
      </c>
      <c r="I247" s="668" t="str">
        <f t="shared" si="40"/>
        <v>Over Heads</v>
      </c>
      <c r="J247" s="668" t="str">
        <f t="shared" si="40"/>
        <v>Forecast</v>
      </c>
      <c r="K247" s="572" t="str">
        <f>K$52</f>
        <v>Forecast Period</v>
      </c>
    </row>
    <row r="248" spans="1:11" s="671" customFormat="1" ht="13">
      <c r="A248" s="910" t="s">
        <v>330</v>
      </c>
      <c r="B248" s="630" t="s">
        <v>192</v>
      </c>
      <c r="C248" s="630" t="s">
        <v>193</v>
      </c>
      <c r="D248" s="666" t="str">
        <f>D$53</f>
        <v>Expenditures</v>
      </c>
      <c r="E248" s="666" t="str">
        <f t="shared" ref="E248:J248" si="41">E$53</f>
        <v>Overheads</v>
      </c>
      <c r="F248" s="666" t="str">
        <f t="shared" si="41"/>
        <v>CWIP Exp</v>
      </c>
      <c r="G248" s="666" t="s">
        <v>1930</v>
      </c>
      <c r="H248" s="666" t="str">
        <f t="shared" si="41"/>
        <v>CWIP Closed</v>
      </c>
      <c r="I248" s="666" t="str">
        <f t="shared" si="41"/>
        <v>Closed to PIS</v>
      </c>
      <c r="J248" s="666" t="str">
        <f t="shared" si="41"/>
        <v>Period CWIP</v>
      </c>
      <c r="K248" s="666" t="str">
        <f>K$53</f>
        <v>Incremental CWIP</v>
      </c>
    </row>
    <row r="249" spans="1:11" s="671" customFormat="1" ht="13">
      <c r="A249" s="109">
        <f>A241+1</f>
        <v>185</v>
      </c>
      <c r="B249" s="631" t="s">
        <v>180</v>
      </c>
      <c r="C249" s="632">
        <v>2019</v>
      </c>
      <c r="D249" s="675" t="s">
        <v>76</v>
      </c>
      <c r="E249" s="675" t="s">
        <v>76</v>
      </c>
      <c r="F249" s="675" t="s">
        <v>76</v>
      </c>
      <c r="G249" s="675" t="s">
        <v>76</v>
      </c>
      <c r="H249" s="675" t="s">
        <v>76</v>
      </c>
      <c r="I249" s="675" t="s">
        <v>76</v>
      </c>
      <c r="J249" s="63">
        <f>D45</f>
        <v>0</v>
      </c>
      <c r="K249" s="675" t="s">
        <v>76</v>
      </c>
    </row>
    <row r="250" spans="1:11" s="671" customFormat="1" ht="13">
      <c r="A250" s="109">
        <f>A249+1</f>
        <v>186</v>
      </c>
      <c r="B250" s="631" t="s">
        <v>181</v>
      </c>
      <c r="C250" s="632">
        <v>2020</v>
      </c>
      <c r="D250" s="1072">
        <v>-1942</v>
      </c>
      <c r="E250" s="63">
        <f>D250*'16-PlantAdditions'!$E$103</f>
        <v>-145.65</v>
      </c>
      <c r="F250" s="63">
        <f>E250+D250</f>
        <v>-2087.65</v>
      </c>
      <c r="G250" s="1072">
        <v>-1942</v>
      </c>
      <c r="H250" s="1072">
        <v>0</v>
      </c>
      <c r="I250" s="63">
        <f>(G250-H250)*'16-PlantAdditions'!$E$103</f>
        <v>-145.65</v>
      </c>
      <c r="J250" s="63">
        <f>J249+F250-G250-I250</f>
        <v>0</v>
      </c>
      <c r="K250" s="63">
        <f>J250-$J$249</f>
        <v>0</v>
      </c>
    </row>
    <row r="251" spans="1:11" s="671" customFormat="1" ht="13">
      <c r="A251" s="109">
        <f t="shared" ref="A251:A274" si="42">A250+1</f>
        <v>187</v>
      </c>
      <c r="B251" s="634" t="s">
        <v>182</v>
      </c>
      <c r="C251" s="632">
        <v>2020</v>
      </c>
      <c r="D251" s="1072">
        <v>0</v>
      </c>
      <c r="E251" s="63">
        <f>D251*'16-PlantAdditions'!$E$103</f>
        <v>0</v>
      </c>
      <c r="F251" s="63">
        <f t="shared" ref="F251:F270" si="43">E251+D251</f>
        <v>0</v>
      </c>
      <c r="G251" s="1072">
        <v>0</v>
      </c>
      <c r="H251" s="1072">
        <v>0</v>
      </c>
      <c r="I251" s="63">
        <f>(G251-H251)*'16-PlantAdditions'!$E$103</f>
        <v>0</v>
      </c>
      <c r="J251" s="63">
        <f t="shared" ref="J251:J270" si="44">J250+F251-G251-I251</f>
        <v>0</v>
      </c>
      <c r="K251" s="63">
        <f t="shared" ref="K251:K273" si="45">J251-$J$249</f>
        <v>0</v>
      </c>
    </row>
    <row r="252" spans="1:11" s="671" customFormat="1" ht="13">
      <c r="A252" s="109">
        <f t="shared" si="42"/>
        <v>188</v>
      </c>
      <c r="B252" s="634" t="s">
        <v>195</v>
      </c>
      <c r="C252" s="632">
        <v>2020</v>
      </c>
      <c r="D252" s="1072">
        <v>0</v>
      </c>
      <c r="E252" s="63">
        <f>D252*'16-PlantAdditions'!$E$103</f>
        <v>0</v>
      </c>
      <c r="F252" s="63">
        <f t="shared" si="43"/>
        <v>0</v>
      </c>
      <c r="G252" s="1072">
        <v>0</v>
      </c>
      <c r="H252" s="1072">
        <v>0</v>
      </c>
      <c r="I252" s="63">
        <f>(G252-H252)*'16-PlantAdditions'!$E$103</f>
        <v>0</v>
      </c>
      <c r="J252" s="63">
        <f t="shared" si="44"/>
        <v>0</v>
      </c>
      <c r="K252" s="63">
        <f t="shared" si="45"/>
        <v>0</v>
      </c>
    </row>
    <row r="253" spans="1:11" s="671" customFormat="1" ht="13">
      <c r="A253" s="109">
        <f t="shared" si="42"/>
        <v>189</v>
      </c>
      <c r="B253" s="631" t="s">
        <v>183</v>
      </c>
      <c r="C253" s="632">
        <v>2020</v>
      </c>
      <c r="D253" s="1072">
        <v>0</v>
      </c>
      <c r="E253" s="63">
        <f>D253*'16-PlantAdditions'!$E$103</f>
        <v>0</v>
      </c>
      <c r="F253" s="63">
        <f t="shared" si="43"/>
        <v>0</v>
      </c>
      <c r="G253" s="1072">
        <v>0</v>
      </c>
      <c r="H253" s="1072">
        <v>0</v>
      </c>
      <c r="I253" s="63">
        <f>(G253-H253)*'16-PlantAdditions'!$E$103</f>
        <v>0</v>
      </c>
      <c r="J253" s="63">
        <f t="shared" si="44"/>
        <v>0</v>
      </c>
      <c r="K253" s="63">
        <f t="shared" si="45"/>
        <v>0</v>
      </c>
    </row>
    <row r="254" spans="1:11" s="671" customFormat="1" ht="13">
      <c r="A254" s="109">
        <f t="shared" si="42"/>
        <v>190</v>
      </c>
      <c r="B254" s="634" t="s">
        <v>184</v>
      </c>
      <c r="C254" s="632">
        <v>2020</v>
      </c>
      <c r="D254" s="1072">
        <v>0</v>
      </c>
      <c r="E254" s="63">
        <f>D254*'16-PlantAdditions'!$E$103</f>
        <v>0</v>
      </c>
      <c r="F254" s="63">
        <f t="shared" si="43"/>
        <v>0</v>
      </c>
      <c r="G254" s="1072">
        <v>0</v>
      </c>
      <c r="H254" s="1072">
        <v>0</v>
      </c>
      <c r="I254" s="63">
        <f>(G254-H254)*'16-PlantAdditions'!$E$103</f>
        <v>0</v>
      </c>
      <c r="J254" s="63">
        <f t="shared" si="44"/>
        <v>0</v>
      </c>
      <c r="K254" s="63">
        <f t="shared" si="45"/>
        <v>0</v>
      </c>
    </row>
    <row r="255" spans="1:11" s="671" customFormat="1" ht="13">
      <c r="A255" s="109">
        <f t="shared" si="42"/>
        <v>191</v>
      </c>
      <c r="B255" s="634" t="s">
        <v>1464</v>
      </c>
      <c r="C255" s="632">
        <v>2020</v>
      </c>
      <c r="D255" s="1072">
        <v>0</v>
      </c>
      <c r="E255" s="63">
        <f>D255*'16-PlantAdditions'!$E$103</f>
        <v>0</v>
      </c>
      <c r="F255" s="63">
        <f t="shared" si="43"/>
        <v>0</v>
      </c>
      <c r="G255" s="1072">
        <v>0</v>
      </c>
      <c r="H255" s="1072">
        <v>0</v>
      </c>
      <c r="I255" s="63">
        <f>(G255-H255)*'16-PlantAdditions'!$E$103</f>
        <v>0</v>
      </c>
      <c r="J255" s="63">
        <f t="shared" si="44"/>
        <v>0</v>
      </c>
      <c r="K255" s="63">
        <f t="shared" si="45"/>
        <v>0</v>
      </c>
    </row>
    <row r="256" spans="1:11" s="671" customFormat="1" ht="13">
      <c r="A256" s="109">
        <f t="shared" si="42"/>
        <v>192</v>
      </c>
      <c r="B256" s="631" t="s">
        <v>186</v>
      </c>
      <c r="C256" s="632">
        <v>2020</v>
      </c>
      <c r="D256" s="1072">
        <v>0</v>
      </c>
      <c r="E256" s="63">
        <f>D256*'16-PlantAdditions'!$E$103</f>
        <v>0</v>
      </c>
      <c r="F256" s="63">
        <f t="shared" si="43"/>
        <v>0</v>
      </c>
      <c r="G256" s="1072">
        <v>0</v>
      </c>
      <c r="H256" s="1072">
        <v>0</v>
      </c>
      <c r="I256" s="63">
        <f>(G256-H256)*'16-PlantAdditions'!$E$103</f>
        <v>0</v>
      </c>
      <c r="J256" s="63">
        <f t="shared" si="44"/>
        <v>0</v>
      </c>
      <c r="K256" s="63">
        <f t="shared" si="45"/>
        <v>0</v>
      </c>
    </row>
    <row r="257" spans="1:11" s="671" customFormat="1" ht="13">
      <c r="A257" s="109">
        <f t="shared" si="42"/>
        <v>193</v>
      </c>
      <c r="B257" s="634" t="s">
        <v>187</v>
      </c>
      <c r="C257" s="632">
        <v>2020</v>
      </c>
      <c r="D257" s="1072">
        <v>0</v>
      </c>
      <c r="E257" s="63">
        <f>D257*'16-PlantAdditions'!$E$103</f>
        <v>0</v>
      </c>
      <c r="F257" s="63">
        <f t="shared" si="43"/>
        <v>0</v>
      </c>
      <c r="G257" s="1072">
        <v>0</v>
      </c>
      <c r="H257" s="1072">
        <v>0</v>
      </c>
      <c r="I257" s="63">
        <f>(G257-H257)*'16-PlantAdditions'!$E$103</f>
        <v>0</v>
      </c>
      <c r="J257" s="63">
        <f t="shared" si="44"/>
        <v>0</v>
      </c>
      <c r="K257" s="63">
        <f t="shared" si="45"/>
        <v>0</v>
      </c>
    </row>
    <row r="258" spans="1:11" s="671" customFormat="1" ht="13">
      <c r="A258" s="109">
        <f t="shared" si="42"/>
        <v>194</v>
      </c>
      <c r="B258" s="634" t="s">
        <v>188</v>
      </c>
      <c r="C258" s="632">
        <v>2020</v>
      </c>
      <c r="D258" s="1072">
        <v>0</v>
      </c>
      <c r="E258" s="63">
        <f>D258*'16-PlantAdditions'!$E$103</f>
        <v>0</v>
      </c>
      <c r="F258" s="63">
        <f t="shared" si="43"/>
        <v>0</v>
      </c>
      <c r="G258" s="1072">
        <v>0</v>
      </c>
      <c r="H258" s="1072">
        <v>0</v>
      </c>
      <c r="I258" s="63">
        <f>(G258-H258)*'16-PlantAdditions'!$E$103</f>
        <v>0</v>
      </c>
      <c r="J258" s="63">
        <f t="shared" si="44"/>
        <v>0</v>
      </c>
      <c r="K258" s="63">
        <f t="shared" si="45"/>
        <v>0</v>
      </c>
    </row>
    <row r="259" spans="1:11" s="671" customFormat="1" ht="13">
      <c r="A259" s="109">
        <f t="shared" si="42"/>
        <v>195</v>
      </c>
      <c r="B259" s="631" t="s">
        <v>191</v>
      </c>
      <c r="C259" s="632">
        <v>2020</v>
      </c>
      <c r="D259" s="1072">
        <v>0</v>
      </c>
      <c r="E259" s="63">
        <f>D259*'16-PlantAdditions'!$E$103</f>
        <v>0</v>
      </c>
      <c r="F259" s="63">
        <f t="shared" si="43"/>
        <v>0</v>
      </c>
      <c r="G259" s="1072">
        <v>0</v>
      </c>
      <c r="H259" s="1072">
        <v>0</v>
      </c>
      <c r="I259" s="63">
        <f>(G259-H259)*'16-PlantAdditions'!$E$103</f>
        <v>0</v>
      </c>
      <c r="J259" s="63">
        <f t="shared" si="44"/>
        <v>0</v>
      </c>
      <c r="K259" s="63">
        <f t="shared" si="45"/>
        <v>0</v>
      </c>
    </row>
    <row r="260" spans="1:11" s="671" customFormat="1" ht="13">
      <c r="A260" s="109">
        <f t="shared" si="42"/>
        <v>196</v>
      </c>
      <c r="B260" s="631" t="s">
        <v>190</v>
      </c>
      <c r="C260" s="632">
        <v>2020</v>
      </c>
      <c r="D260" s="1072">
        <v>0</v>
      </c>
      <c r="E260" s="63">
        <f>D260*'16-PlantAdditions'!$E$103</f>
        <v>0</v>
      </c>
      <c r="F260" s="63">
        <f t="shared" si="43"/>
        <v>0</v>
      </c>
      <c r="G260" s="1072">
        <v>0</v>
      </c>
      <c r="H260" s="1072">
        <v>0</v>
      </c>
      <c r="I260" s="63">
        <f>(G260-H260)*'16-PlantAdditions'!$E$103</f>
        <v>0</v>
      </c>
      <c r="J260" s="63">
        <f t="shared" si="44"/>
        <v>0</v>
      </c>
      <c r="K260" s="63">
        <f t="shared" si="45"/>
        <v>0</v>
      </c>
    </row>
    <row r="261" spans="1:11" s="671" customFormat="1" ht="13">
      <c r="A261" s="109">
        <f t="shared" si="42"/>
        <v>197</v>
      </c>
      <c r="B261" s="631" t="s">
        <v>180</v>
      </c>
      <c r="C261" s="632">
        <v>2020</v>
      </c>
      <c r="D261" s="1072">
        <v>0</v>
      </c>
      <c r="E261" s="63">
        <f>D261*'16-PlantAdditions'!$E$103</f>
        <v>0</v>
      </c>
      <c r="F261" s="63">
        <f t="shared" si="43"/>
        <v>0</v>
      </c>
      <c r="G261" s="1072">
        <v>0</v>
      </c>
      <c r="H261" s="1072">
        <v>0</v>
      </c>
      <c r="I261" s="63">
        <f>(G261-H261)*'16-PlantAdditions'!$E$103</f>
        <v>0</v>
      </c>
      <c r="J261" s="63">
        <f t="shared" si="44"/>
        <v>0</v>
      </c>
      <c r="K261" s="63">
        <f t="shared" si="45"/>
        <v>0</v>
      </c>
    </row>
    <row r="262" spans="1:11" s="671" customFormat="1" ht="13">
      <c r="A262" s="109">
        <f t="shared" si="42"/>
        <v>198</v>
      </c>
      <c r="B262" s="631" t="s">
        <v>181</v>
      </c>
      <c r="C262" s="632">
        <v>2021</v>
      </c>
      <c r="D262" s="1072">
        <v>0</v>
      </c>
      <c r="E262" s="63">
        <f>D262*'16-PlantAdditions'!$E$103</f>
        <v>0</v>
      </c>
      <c r="F262" s="63">
        <f t="shared" si="43"/>
        <v>0</v>
      </c>
      <c r="G262" s="1072">
        <v>0</v>
      </c>
      <c r="H262" s="1072">
        <v>0</v>
      </c>
      <c r="I262" s="63">
        <f>(G262-H262)*'16-PlantAdditions'!$E$103</f>
        <v>0</v>
      </c>
      <c r="J262" s="63">
        <f t="shared" si="44"/>
        <v>0</v>
      </c>
      <c r="K262" s="63">
        <f t="shared" si="45"/>
        <v>0</v>
      </c>
    </row>
    <row r="263" spans="1:11" s="671" customFormat="1" ht="13">
      <c r="A263" s="109">
        <f t="shared" si="42"/>
        <v>199</v>
      </c>
      <c r="B263" s="634" t="s">
        <v>182</v>
      </c>
      <c r="C263" s="632">
        <v>2021</v>
      </c>
      <c r="D263" s="1072">
        <v>0</v>
      </c>
      <c r="E263" s="63">
        <f>D263*'16-PlantAdditions'!$E$103</f>
        <v>0</v>
      </c>
      <c r="F263" s="63">
        <f t="shared" si="43"/>
        <v>0</v>
      </c>
      <c r="G263" s="1072">
        <v>0</v>
      </c>
      <c r="H263" s="1072">
        <v>0</v>
      </c>
      <c r="I263" s="63">
        <f>(G263-H263)*'16-PlantAdditions'!$E$103</f>
        <v>0</v>
      </c>
      <c r="J263" s="63">
        <f t="shared" si="44"/>
        <v>0</v>
      </c>
      <c r="K263" s="63">
        <f t="shared" si="45"/>
        <v>0</v>
      </c>
    </row>
    <row r="264" spans="1:11" s="671" customFormat="1" ht="13">
      <c r="A264" s="109">
        <f t="shared" si="42"/>
        <v>200</v>
      </c>
      <c r="B264" s="634" t="s">
        <v>195</v>
      </c>
      <c r="C264" s="632">
        <v>2021</v>
      </c>
      <c r="D264" s="1072">
        <v>0</v>
      </c>
      <c r="E264" s="63">
        <f>D264*'16-PlantAdditions'!$E$103</f>
        <v>0</v>
      </c>
      <c r="F264" s="63">
        <f t="shared" si="43"/>
        <v>0</v>
      </c>
      <c r="G264" s="1072">
        <v>0</v>
      </c>
      <c r="H264" s="1072">
        <v>0</v>
      </c>
      <c r="I264" s="63">
        <f>(G264-H264)*'16-PlantAdditions'!$E$103</f>
        <v>0</v>
      </c>
      <c r="J264" s="63">
        <f t="shared" si="44"/>
        <v>0</v>
      </c>
      <c r="K264" s="63">
        <f t="shared" si="45"/>
        <v>0</v>
      </c>
    </row>
    <row r="265" spans="1:11" s="671" customFormat="1" ht="13">
      <c r="A265" s="109">
        <f t="shared" si="42"/>
        <v>201</v>
      </c>
      <c r="B265" s="631" t="s">
        <v>183</v>
      </c>
      <c r="C265" s="632">
        <v>2021</v>
      </c>
      <c r="D265" s="1072">
        <v>0</v>
      </c>
      <c r="E265" s="63">
        <f>D265*'16-PlantAdditions'!$E$103</f>
        <v>0</v>
      </c>
      <c r="F265" s="63">
        <f t="shared" si="43"/>
        <v>0</v>
      </c>
      <c r="G265" s="1072">
        <v>0</v>
      </c>
      <c r="H265" s="1072">
        <v>0</v>
      </c>
      <c r="I265" s="63">
        <f>(G265-H265)*'16-PlantAdditions'!$E$103</f>
        <v>0</v>
      </c>
      <c r="J265" s="63">
        <f t="shared" si="44"/>
        <v>0</v>
      </c>
      <c r="K265" s="63">
        <f t="shared" si="45"/>
        <v>0</v>
      </c>
    </row>
    <row r="266" spans="1:11" s="671" customFormat="1" ht="13">
      <c r="A266" s="109">
        <f t="shared" si="42"/>
        <v>202</v>
      </c>
      <c r="B266" s="634" t="s">
        <v>184</v>
      </c>
      <c r="C266" s="632">
        <v>2021</v>
      </c>
      <c r="D266" s="1072">
        <v>0</v>
      </c>
      <c r="E266" s="63">
        <f>D266*'16-PlantAdditions'!$E$103</f>
        <v>0</v>
      </c>
      <c r="F266" s="63">
        <f t="shared" si="43"/>
        <v>0</v>
      </c>
      <c r="G266" s="1072">
        <v>0</v>
      </c>
      <c r="H266" s="1072">
        <v>0</v>
      </c>
      <c r="I266" s="63">
        <f>(G266-H266)*'16-PlantAdditions'!$E$103</f>
        <v>0</v>
      </c>
      <c r="J266" s="63">
        <f t="shared" si="44"/>
        <v>0</v>
      </c>
      <c r="K266" s="63">
        <f t="shared" si="45"/>
        <v>0</v>
      </c>
    </row>
    <row r="267" spans="1:11" s="671" customFormat="1" ht="13">
      <c r="A267" s="109">
        <f t="shared" si="42"/>
        <v>203</v>
      </c>
      <c r="B267" s="634" t="s">
        <v>1464</v>
      </c>
      <c r="C267" s="632">
        <v>2021</v>
      </c>
      <c r="D267" s="1072">
        <v>0</v>
      </c>
      <c r="E267" s="63">
        <f>D267*'16-PlantAdditions'!$E$103</f>
        <v>0</v>
      </c>
      <c r="F267" s="63">
        <f t="shared" si="43"/>
        <v>0</v>
      </c>
      <c r="G267" s="1072">
        <v>0</v>
      </c>
      <c r="H267" s="1072">
        <v>0</v>
      </c>
      <c r="I267" s="63">
        <f>(G267-H267)*'16-PlantAdditions'!$E$103</f>
        <v>0</v>
      </c>
      <c r="J267" s="63">
        <f t="shared" si="44"/>
        <v>0</v>
      </c>
      <c r="K267" s="63">
        <f t="shared" si="45"/>
        <v>0</v>
      </c>
    </row>
    <row r="268" spans="1:11" s="671" customFormat="1" ht="13">
      <c r="A268" s="109">
        <f t="shared" si="42"/>
        <v>204</v>
      </c>
      <c r="B268" s="631" t="s">
        <v>186</v>
      </c>
      <c r="C268" s="632">
        <v>2021</v>
      </c>
      <c r="D268" s="1072">
        <v>0</v>
      </c>
      <c r="E268" s="63">
        <f>D268*'16-PlantAdditions'!$E$103</f>
        <v>0</v>
      </c>
      <c r="F268" s="63">
        <f t="shared" si="43"/>
        <v>0</v>
      </c>
      <c r="G268" s="1072">
        <v>0</v>
      </c>
      <c r="H268" s="1072">
        <v>0</v>
      </c>
      <c r="I268" s="63">
        <f>(G268-H268)*'16-PlantAdditions'!$E$103</f>
        <v>0</v>
      </c>
      <c r="J268" s="63">
        <f t="shared" si="44"/>
        <v>0</v>
      </c>
      <c r="K268" s="63">
        <f t="shared" si="45"/>
        <v>0</v>
      </c>
    </row>
    <row r="269" spans="1:11" s="671" customFormat="1" ht="13">
      <c r="A269" s="109">
        <f t="shared" si="42"/>
        <v>205</v>
      </c>
      <c r="B269" s="634" t="s">
        <v>187</v>
      </c>
      <c r="C269" s="632">
        <v>2021</v>
      </c>
      <c r="D269" s="1072">
        <v>0</v>
      </c>
      <c r="E269" s="63">
        <f>D269*'16-PlantAdditions'!$E$103</f>
        <v>0</v>
      </c>
      <c r="F269" s="63">
        <f t="shared" si="43"/>
        <v>0</v>
      </c>
      <c r="G269" s="1072">
        <v>0</v>
      </c>
      <c r="H269" s="1072">
        <v>0</v>
      </c>
      <c r="I269" s="63">
        <f>(G269-H269)*'16-PlantAdditions'!$E$103</f>
        <v>0</v>
      </c>
      <c r="J269" s="63">
        <f t="shared" si="44"/>
        <v>0</v>
      </c>
      <c r="K269" s="63">
        <f t="shared" si="45"/>
        <v>0</v>
      </c>
    </row>
    <row r="270" spans="1:11" s="671" customFormat="1" ht="13">
      <c r="A270" s="109">
        <f t="shared" si="42"/>
        <v>206</v>
      </c>
      <c r="B270" s="634" t="s">
        <v>188</v>
      </c>
      <c r="C270" s="632">
        <v>2021</v>
      </c>
      <c r="D270" s="1072">
        <v>0</v>
      </c>
      <c r="E270" s="63">
        <f>D270*'16-PlantAdditions'!$E$103</f>
        <v>0</v>
      </c>
      <c r="F270" s="63">
        <f t="shared" si="43"/>
        <v>0</v>
      </c>
      <c r="G270" s="1072">
        <v>0</v>
      </c>
      <c r="H270" s="1072">
        <v>0</v>
      </c>
      <c r="I270" s="63">
        <f>(G270-H270)*'16-PlantAdditions'!$E$103</f>
        <v>0</v>
      </c>
      <c r="J270" s="63">
        <f t="shared" si="44"/>
        <v>0</v>
      </c>
      <c r="K270" s="63">
        <f t="shared" si="45"/>
        <v>0</v>
      </c>
    </row>
    <row r="271" spans="1:11" s="671" customFormat="1" ht="13">
      <c r="A271" s="109">
        <f t="shared" si="42"/>
        <v>207</v>
      </c>
      <c r="B271" s="634" t="s">
        <v>191</v>
      </c>
      <c r="C271" s="632">
        <v>2021</v>
      </c>
      <c r="D271" s="1072">
        <v>0</v>
      </c>
      <c r="E271" s="63">
        <f>D271*'16-PlantAdditions'!$E$103</f>
        <v>0</v>
      </c>
      <c r="F271" s="63">
        <f>E271+D271</f>
        <v>0</v>
      </c>
      <c r="G271" s="1072">
        <v>0</v>
      </c>
      <c r="H271" s="1072">
        <v>0</v>
      </c>
      <c r="I271" s="63">
        <f>(G271-H271)*'16-PlantAdditions'!$E$103</f>
        <v>0</v>
      </c>
      <c r="J271" s="63">
        <f>J270+F271-G271-I271</f>
        <v>0</v>
      </c>
      <c r="K271" s="63">
        <f t="shared" si="45"/>
        <v>0</v>
      </c>
    </row>
    <row r="272" spans="1:11" s="671" customFormat="1" ht="13">
      <c r="A272" s="109">
        <f t="shared" si="42"/>
        <v>208</v>
      </c>
      <c r="B272" s="634" t="s">
        <v>190</v>
      </c>
      <c r="C272" s="632">
        <v>2021</v>
      </c>
      <c r="D272" s="1072">
        <v>0</v>
      </c>
      <c r="E272" s="63">
        <f>D272*'16-PlantAdditions'!$E$103</f>
        <v>0</v>
      </c>
      <c r="F272" s="63">
        <f>E272+D272</f>
        <v>0</v>
      </c>
      <c r="G272" s="1072">
        <v>0</v>
      </c>
      <c r="H272" s="1072">
        <v>0</v>
      </c>
      <c r="I272" s="63">
        <f>(G272-H272)*'16-PlantAdditions'!$E$103</f>
        <v>0</v>
      </c>
      <c r="J272" s="63">
        <f>J271+F272-G272-I272</f>
        <v>0</v>
      </c>
      <c r="K272" s="63">
        <f t="shared" si="45"/>
        <v>0</v>
      </c>
    </row>
    <row r="273" spans="1:13" s="671" customFormat="1" ht="13">
      <c r="A273" s="109">
        <f t="shared" si="42"/>
        <v>209</v>
      </c>
      <c r="B273" s="634" t="s">
        <v>180</v>
      </c>
      <c r="C273" s="632">
        <v>2021</v>
      </c>
      <c r="D273" s="1072">
        <v>0</v>
      </c>
      <c r="E273" s="63">
        <f>D273*'16-PlantAdditions'!$E$103</f>
        <v>0</v>
      </c>
      <c r="F273" s="63">
        <f>E273+D273</f>
        <v>0</v>
      </c>
      <c r="G273" s="1072">
        <v>0</v>
      </c>
      <c r="H273" s="1072">
        <v>0</v>
      </c>
      <c r="I273" s="63">
        <f>(G273-H273)*'16-PlantAdditions'!$E$103</f>
        <v>0</v>
      </c>
      <c r="J273" s="63">
        <f>J272+F273-G273-I273</f>
        <v>0</v>
      </c>
      <c r="K273" s="110">
        <f t="shared" si="45"/>
        <v>0</v>
      </c>
    </row>
    <row r="274" spans="1:13" s="671" customFormat="1" ht="13">
      <c r="A274" s="109">
        <f t="shared" si="42"/>
        <v>210</v>
      </c>
      <c r="B274"/>
      <c r="C274" s="670" t="s">
        <v>1614</v>
      </c>
      <c r="D274"/>
      <c r="E274"/>
      <c r="F274"/>
      <c r="G274"/>
      <c r="H274"/>
      <c r="I274"/>
      <c r="J274"/>
      <c r="K274" s="73">
        <f>AVERAGE(K261:K273)</f>
        <v>0</v>
      </c>
    </row>
    <row r="275" spans="1:13" s="671" customFormat="1" ht="12.75" customHeight="1">
      <c r="A275" s="109"/>
      <c r="B275"/>
      <c r="C275" s="670"/>
      <c r="D275"/>
      <c r="E275"/>
      <c r="F275"/>
      <c r="G275"/>
      <c r="H275"/>
      <c r="I275"/>
      <c r="J275"/>
      <c r="K275" s="73"/>
    </row>
    <row r="276" spans="1:13" s="671" customFormat="1" ht="13">
      <c r="B276" s="672" t="s">
        <v>1946</v>
      </c>
      <c r="D276" s="1396" t="s">
        <v>2800</v>
      </c>
      <c r="E276" s="1396"/>
    </row>
    <row r="277" spans="1:13" s="671" customFormat="1" ht="13">
      <c r="D277" s="673"/>
      <c r="E277" s="674"/>
      <c r="F277" s="675"/>
      <c r="G277" s="668" t="str">
        <f>G51</f>
        <v>Unloaded</v>
      </c>
      <c r="H277" s="673"/>
      <c r="I277" s="674"/>
      <c r="J277" s="674"/>
      <c r="K277" s="674"/>
    </row>
    <row r="278" spans="1:13" s="671" customFormat="1" ht="13">
      <c r="A278" s="668"/>
      <c r="B278" s="668"/>
      <c r="C278" s="668"/>
      <c r="D278" s="668" t="str">
        <f>D$52</f>
        <v>Forecast</v>
      </c>
      <c r="E278" s="668" t="str">
        <f t="shared" ref="E278:J278" si="46">E$52</f>
        <v>Corporate</v>
      </c>
      <c r="F278" s="668" t="str">
        <f t="shared" si="46"/>
        <v xml:space="preserve">Total </v>
      </c>
      <c r="G278" s="668" t="str">
        <f>G52</f>
        <v>Total</v>
      </c>
      <c r="H278" s="668" t="str">
        <f t="shared" si="46"/>
        <v>Prior Period</v>
      </c>
      <c r="I278" s="668" t="str">
        <f t="shared" si="46"/>
        <v>Over Heads</v>
      </c>
      <c r="J278" s="668" t="str">
        <f t="shared" si="46"/>
        <v>Forecast</v>
      </c>
      <c r="K278" s="572" t="str">
        <f>K$52</f>
        <v>Forecast Period</v>
      </c>
    </row>
    <row r="279" spans="1:13" s="671" customFormat="1" ht="13">
      <c r="A279" s="910" t="s">
        <v>330</v>
      </c>
      <c r="B279" s="630" t="s">
        <v>192</v>
      </c>
      <c r="C279" s="630" t="s">
        <v>193</v>
      </c>
      <c r="D279" s="666" t="str">
        <f>D$53</f>
        <v>Expenditures</v>
      </c>
      <c r="E279" s="666" t="str">
        <f t="shared" ref="E279:J279" si="47">E$53</f>
        <v>Overheads</v>
      </c>
      <c r="F279" s="666" t="str">
        <f t="shared" si="47"/>
        <v>CWIP Exp</v>
      </c>
      <c r="G279" s="666" t="str">
        <f>G53</f>
        <v>Plant Adds</v>
      </c>
      <c r="H279" s="666" t="str">
        <f t="shared" si="47"/>
        <v>CWIP Closed</v>
      </c>
      <c r="I279" s="666" t="str">
        <f t="shared" si="47"/>
        <v>Closed to PIS</v>
      </c>
      <c r="J279" s="666" t="str">
        <f t="shared" si="47"/>
        <v>Period CWIP</v>
      </c>
      <c r="K279" s="666" t="str">
        <f>K$53</f>
        <v>Incremental CWIP</v>
      </c>
    </row>
    <row r="280" spans="1:13" s="671" customFormat="1" ht="13">
      <c r="A280" s="109">
        <f>A274+1</f>
        <v>211</v>
      </c>
      <c r="B280" s="631" t="s">
        <v>180</v>
      </c>
      <c r="C280" s="632">
        <v>2019</v>
      </c>
      <c r="D280" s="675" t="s">
        <v>76</v>
      </c>
      <c r="E280" s="675" t="s">
        <v>76</v>
      </c>
      <c r="F280" s="675" t="s">
        <v>76</v>
      </c>
      <c r="G280" s="675" t="s">
        <v>76</v>
      </c>
      <c r="H280" s="675" t="s">
        <v>76</v>
      </c>
      <c r="I280" s="675" t="s">
        <v>76</v>
      </c>
      <c r="J280" s="63">
        <f>E45</f>
        <v>301246.76</v>
      </c>
      <c r="K280" s="675" t="s">
        <v>76</v>
      </c>
    </row>
    <row r="281" spans="1:13" s="671" customFormat="1" ht="13">
      <c r="A281" s="109">
        <f>A280+1</f>
        <v>212</v>
      </c>
      <c r="B281" s="631" t="s">
        <v>181</v>
      </c>
      <c r="C281" s="632">
        <v>2020</v>
      </c>
      <c r="D281" s="1072">
        <v>11020</v>
      </c>
      <c r="E281" s="63">
        <f>D281*'16-PlantAdditions'!$E$103</f>
        <v>826.5</v>
      </c>
      <c r="F281" s="63">
        <f>E281+D281</f>
        <v>11846.5</v>
      </c>
      <c r="G281" s="1072">
        <v>0</v>
      </c>
      <c r="H281" s="1072">
        <v>0</v>
      </c>
      <c r="I281" s="63">
        <f>(G281-H281)*'16-PlantAdditions'!$E$103</f>
        <v>0</v>
      </c>
      <c r="J281" s="63">
        <f>J280+F281-G281-I281</f>
        <v>313093.26</v>
      </c>
      <c r="K281" s="63">
        <f>J281-$J$280</f>
        <v>11846.5</v>
      </c>
    </row>
    <row r="282" spans="1:13" s="671" customFormat="1" ht="13">
      <c r="A282" s="109">
        <f t="shared" ref="A282:A305" si="48">A281+1</f>
        <v>213</v>
      </c>
      <c r="B282" s="634" t="s">
        <v>182</v>
      </c>
      <c r="C282" s="632">
        <v>2020</v>
      </c>
      <c r="D282" s="1072">
        <v>8146.0000000000009</v>
      </c>
      <c r="E282" s="63">
        <f>D282*'16-PlantAdditions'!$E$103</f>
        <v>610.95000000000005</v>
      </c>
      <c r="F282" s="63">
        <f t="shared" ref="F282:F301" si="49">E282+D282</f>
        <v>8756.9500000000007</v>
      </c>
      <c r="G282" s="1072">
        <v>0</v>
      </c>
      <c r="H282" s="1072">
        <v>0</v>
      </c>
      <c r="I282" s="63">
        <f>(G282-H282)*'16-PlantAdditions'!$E$103</f>
        <v>0</v>
      </c>
      <c r="J282" s="63">
        <f t="shared" ref="J282:J301" si="50">J281+F282-G282-I282</f>
        <v>321850.21000000002</v>
      </c>
      <c r="K282" s="63">
        <f t="shared" ref="K282:K304" si="51">J282-$J$280</f>
        <v>20603.450000000012</v>
      </c>
    </row>
    <row r="283" spans="1:13" s="671" customFormat="1" ht="13">
      <c r="A283" s="109">
        <f t="shared" si="48"/>
        <v>214</v>
      </c>
      <c r="B283" s="634" t="s">
        <v>195</v>
      </c>
      <c r="C283" s="632">
        <v>2020</v>
      </c>
      <c r="D283" s="1072">
        <v>18479</v>
      </c>
      <c r="E283" s="63">
        <f>D283*'16-PlantAdditions'!$E$103</f>
        <v>1385.925</v>
      </c>
      <c r="F283" s="63">
        <f t="shared" si="49"/>
        <v>19864.924999999999</v>
      </c>
      <c r="G283" s="1072">
        <v>0</v>
      </c>
      <c r="H283" s="1072">
        <v>0</v>
      </c>
      <c r="I283" s="63">
        <f>(G283-H283)*'16-PlantAdditions'!$E$103</f>
        <v>0</v>
      </c>
      <c r="J283" s="63">
        <f t="shared" si="50"/>
        <v>341715.13500000001</v>
      </c>
      <c r="K283" s="63">
        <f t="shared" si="51"/>
        <v>40468.375</v>
      </c>
    </row>
    <row r="284" spans="1:13" s="671" customFormat="1" ht="13">
      <c r="A284" s="109">
        <f t="shared" si="48"/>
        <v>215</v>
      </c>
      <c r="B284" s="631" t="s">
        <v>183</v>
      </c>
      <c r="C284" s="632">
        <v>2020</v>
      </c>
      <c r="D284" s="1072">
        <v>40000</v>
      </c>
      <c r="E284" s="63">
        <f>D284*'16-PlantAdditions'!$E$103</f>
        <v>3000</v>
      </c>
      <c r="F284" s="63">
        <f t="shared" si="49"/>
        <v>43000</v>
      </c>
      <c r="G284" s="1072">
        <v>0</v>
      </c>
      <c r="H284" s="1072">
        <v>0</v>
      </c>
      <c r="I284" s="63">
        <f>(G284-H284)*'16-PlantAdditions'!$E$103</f>
        <v>0</v>
      </c>
      <c r="J284" s="63">
        <f t="shared" si="50"/>
        <v>384715.13500000001</v>
      </c>
      <c r="K284" s="63">
        <f t="shared" si="51"/>
        <v>83468.375</v>
      </c>
    </row>
    <row r="285" spans="1:13" s="671" customFormat="1" ht="13">
      <c r="A285" s="109">
        <f t="shared" si="48"/>
        <v>216</v>
      </c>
      <c r="B285" s="634" t="s">
        <v>184</v>
      </c>
      <c r="C285" s="632">
        <v>2020</v>
      </c>
      <c r="D285" s="1072">
        <v>326231</v>
      </c>
      <c r="E285" s="63">
        <f>D285*'16-PlantAdditions'!$E$103</f>
        <v>24467.325000000001</v>
      </c>
      <c r="F285" s="63">
        <f t="shared" si="49"/>
        <v>350698.32500000001</v>
      </c>
      <c r="G285" s="1072">
        <v>0</v>
      </c>
      <c r="H285" s="1072">
        <v>0</v>
      </c>
      <c r="I285" s="63">
        <f>(G285-H285)*'16-PlantAdditions'!$E$103</f>
        <v>0</v>
      </c>
      <c r="J285" s="63">
        <f t="shared" si="50"/>
        <v>735413.46</v>
      </c>
      <c r="K285" s="63">
        <f t="shared" si="51"/>
        <v>434166.69999999995</v>
      </c>
      <c r="L285" s="668"/>
      <c r="M285" s="668"/>
    </row>
    <row r="286" spans="1:13" s="671" customFormat="1" ht="13">
      <c r="A286" s="109">
        <f t="shared" si="48"/>
        <v>217</v>
      </c>
      <c r="B286" s="634" t="s">
        <v>1464</v>
      </c>
      <c r="C286" s="632">
        <v>2020</v>
      </c>
      <c r="D286" s="1072">
        <v>350000</v>
      </c>
      <c r="E286" s="63">
        <f>D286*'16-PlantAdditions'!$E$103</f>
        <v>26250</v>
      </c>
      <c r="F286" s="63">
        <f t="shared" si="49"/>
        <v>376250</v>
      </c>
      <c r="G286" s="1072">
        <v>0</v>
      </c>
      <c r="H286" s="1072">
        <v>0</v>
      </c>
      <c r="I286" s="63">
        <f>(G286-H286)*'16-PlantAdditions'!$E$103</f>
        <v>0</v>
      </c>
      <c r="J286" s="63">
        <f t="shared" si="50"/>
        <v>1111663.46</v>
      </c>
      <c r="K286" s="63">
        <f t="shared" si="51"/>
        <v>810416.7</v>
      </c>
      <c r="L286" s="666"/>
      <c r="M286" s="666"/>
    </row>
    <row r="287" spans="1:13" s="671" customFormat="1" ht="13">
      <c r="A287" s="109">
        <f t="shared" si="48"/>
        <v>218</v>
      </c>
      <c r="B287" s="631" t="s">
        <v>186</v>
      </c>
      <c r="C287" s="632">
        <v>2020</v>
      </c>
      <c r="D287" s="1072">
        <v>336231</v>
      </c>
      <c r="E287" s="63">
        <f>D287*'16-PlantAdditions'!$E$103</f>
        <v>25217.325000000001</v>
      </c>
      <c r="F287" s="63">
        <f t="shared" si="49"/>
        <v>361448.32500000001</v>
      </c>
      <c r="G287" s="1072">
        <v>0</v>
      </c>
      <c r="H287" s="1072">
        <v>0</v>
      </c>
      <c r="I287" s="63">
        <f>(G287-H287)*'16-PlantAdditions'!$E$103</f>
        <v>0</v>
      </c>
      <c r="J287" s="63">
        <f t="shared" si="50"/>
        <v>1473111.7849999999</v>
      </c>
      <c r="K287" s="63">
        <f t="shared" si="51"/>
        <v>1171865.0249999999</v>
      </c>
    </row>
    <row r="288" spans="1:13" s="671" customFormat="1" ht="13">
      <c r="A288" s="109">
        <f t="shared" si="48"/>
        <v>219</v>
      </c>
      <c r="B288" s="634" t="s">
        <v>187</v>
      </c>
      <c r="C288" s="632">
        <v>2020</v>
      </c>
      <c r="D288" s="1072">
        <v>435864</v>
      </c>
      <c r="E288" s="63">
        <f>D288*'16-PlantAdditions'!$E$103</f>
        <v>32689.8</v>
      </c>
      <c r="F288" s="63">
        <f t="shared" si="49"/>
        <v>468553.8</v>
      </c>
      <c r="G288" s="1072">
        <v>0</v>
      </c>
      <c r="H288" s="1072">
        <v>0</v>
      </c>
      <c r="I288" s="63">
        <f>(G288-H288)*'16-PlantAdditions'!$E$103</f>
        <v>0</v>
      </c>
      <c r="J288" s="63">
        <f t="shared" si="50"/>
        <v>1941665.585</v>
      </c>
      <c r="K288" s="63">
        <f t="shared" si="51"/>
        <v>1640418.825</v>
      </c>
    </row>
    <row r="289" spans="1:11" s="671" customFormat="1" ht="13">
      <c r="A289" s="109">
        <f t="shared" si="48"/>
        <v>220</v>
      </c>
      <c r="B289" s="634" t="s">
        <v>188</v>
      </c>
      <c r="C289" s="632">
        <v>2020</v>
      </c>
      <c r="D289" s="1072">
        <v>455000</v>
      </c>
      <c r="E289" s="63">
        <f>D289*'16-PlantAdditions'!$E$103</f>
        <v>34125</v>
      </c>
      <c r="F289" s="63">
        <f t="shared" si="49"/>
        <v>489125</v>
      </c>
      <c r="G289" s="1072">
        <v>0</v>
      </c>
      <c r="H289" s="1072">
        <v>0</v>
      </c>
      <c r="I289" s="63">
        <f>(G289-H289)*'16-PlantAdditions'!$E$103</f>
        <v>0</v>
      </c>
      <c r="J289" s="63">
        <f t="shared" si="50"/>
        <v>2430790.585</v>
      </c>
      <c r="K289" s="63">
        <f t="shared" si="51"/>
        <v>2129543.8250000002</v>
      </c>
    </row>
    <row r="290" spans="1:11" s="671" customFormat="1" ht="13">
      <c r="A290" s="109">
        <f t="shared" si="48"/>
        <v>221</v>
      </c>
      <c r="B290" s="631" t="s">
        <v>191</v>
      </c>
      <c r="C290" s="632">
        <v>2020</v>
      </c>
      <c r="D290" s="1072">
        <v>1123537</v>
      </c>
      <c r="E290" s="63">
        <f>D290*'16-PlantAdditions'!$E$103</f>
        <v>84265.274999999994</v>
      </c>
      <c r="F290" s="63">
        <f t="shared" si="49"/>
        <v>1207802.2749999999</v>
      </c>
      <c r="G290" s="1072">
        <v>0</v>
      </c>
      <c r="H290" s="1072">
        <v>0</v>
      </c>
      <c r="I290" s="63">
        <f>(G290-H290)*'16-PlantAdditions'!$E$103</f>
        <v>0</v>
      </c>
      <c r="J290" s="63">
        <f t="shared" si="50"/>
        <v>3638592.86</v>
      </c>
      <c r="K290" s="63">
        <f t="shared" si="51"/>
        <v>3337346.0999999996</v>
      </c>
    </row>
    <row r="291" spans="1:11" s="671" customFormat="1" ht="13">
      <c r="A291" s="109">
        <f t="shared" si="48"/>
        <v>222</v>
      </c>
      <c r="B291" s="631" t="s">
        <v>190</v>
      </c>
      <c r="C291" s="632">
        <v>2020</v>
      </c>
      <c r="D291" s="1072">
        <v>1266818</v>
      </c>
      <c r="E291" s="63">
        <f>D291*'16-PlantAdditions'!$E$103</f>
        <v>95011.349999999991</v>
      </c>
      <c r="F291" s="63">
        <f t="shared" si="49"/>
        <v>1361829.35</v>
      </c>
      <c r="G291" s="1072">
        <v>0</v>
      </c>
      <c r="H291" s="1072">
        <v>0</v>
      </c>
      <c r="I291" s="63">
        <f>(G291-H291)*'16-PlantAdditions'!$E$103</f>
        <v>0</v>
      </c>
      <c r="J291" s="63">
        <f t="shared" si="50"/>
        <v>5000422.21</v>
      </c>
      <c r="K291" s="63">
        <f t="shared" si="51"/>
        <v>4699175.45</v>
      </c>
    </row>
    <row r="292" spans="1:11" s="671" customFormat="1" ht="13">
      <c r="A292" s="109">
        <f t="shared" si="48"/>
        <v>223</v>
      </c>
      <c r="B292" s="631" t="s">
        <v>180</v>
      </c>
      <c r="C292" s="632">
        <v>2020</v>
      </c>
      <c r="D292" s="1072">
        <v>669293</v>
      </c>
      <c r="E292" s="63">
        <f>D292*'16-PlantAdditions'!$E$103</f>
        <v>50196.974999999999</v>
      </c>
      <c r="F292" s="63">
        <f t="shared" si="49"/>
        <v>719489.97499999998</v>
      </c>
      <c r="G292" s="1072">
        <v>0</v>
      </c>
      <c r="H292" s="1072">
        <v>0</v>
      </c>
      <c r="I292" s="63">
        <f>(G292-H292)*'16-PlantAdditions'!$E$103</f>
        <v>0</v>
      </c>
      <c r="J292" s="63">
        <f t="shared" si="50"/>
        <v>5719912.1849999996</v>
      </c>
      <c r="K292" s="63">
        <f t="shared" si="51"/>
        <v>5418665.4249999998</v>
      </c>
    </row>
    <row r="293" spans="1:11" s="671" customFormat="1" ht="13">
      <c r="A293" s="109">
        <f t="shared" si="48"/>
        <v>224</v>
      </c>
      <c r="B293" s="631" t="s">
        <v>181</v>
      </c>
      <c r="C293" s="632">
        <v>2021</v>
      </c>
      <c r="D293" s="1072">
        <v>370000</v>
      </c>
      <c r="E293" s="63">
        <f>D293*'16-PlantAdditions'!$E$103</f>
        <v>27750</v>
      </c>
      <c r="F293" s="63">
        <f t="shared" si="49"/>
        <v>397750</v>
      </c>
      <c r="G293" s="1072">
        <v>0</v>
      </c>
      <c r="H293" s="1072">
        <v>0</v>
      </c>
      <c r="I293" s="63">
        <f>(G293-H293)*'16-PlantAdditions'!$E$103</f>
        <v>0</v>
      </c>
      <c r="J293" s="63">
        <f t="shared" si="50"/>
        <v>6117662.1849999996</v>
      </c>
      <c r="K293" s="63">
        <f t="shared" si="51"/>
        <v>5816415.4249999998</v>
      </c>
    </row>
    <row r="294" spans="1:11" s="671" customFormat="1" ht="13">
      <c r="A294" s="109">
        <f t="shared" si="48"/>
        <v>225</v>
      </c>
      <c r="B294" s="634" t="s">
        <v>182</v>
      </c>
      <c r="C294" s="632">
        <v>2021</v>
      </c>
      <c r="D294" s="1072">
        <v>370000</v>
      </c>
      <c r="E294" s="63">
        <f>D294*'16-PlantAdditions'!$E$103</f>
        <v>27750</v>
      </c>
      <c r="F294" s="63">
        <f t="shared" si="49"/>
        <v>397750</v>
      </c>
      <c r="G294" s="1072">
        <v>0</v>
      </c>
      <c r="H294" s="1072">
        <v>0</v>
      </c>
      <c r="I294" s="63">
        <f>(G294-H294)*'16-PlantAdditions'!$E$103</f>
        <v>0</v>
      </c>
      <c r="J294" s="63">
        <f t="shared" si="50"/>
        <v>6515412.1849999996</v>
      </c>
      <c r="K294" s="63">
        <f t="shared" si="51"/>
        <v>6214165.4249999998</v>
      </c>
    </row>
    <row r="295" spans="1:11" s="671" customFormat="1" ht="13">
      <c r="A295" s="109">
        <f t="shared" si="48"/>
        <v>226</v>
      </c>
      <c r="B295" s="634" t="s">
        <v>195</v>
      </c>
      <c r="C295" s="632">
        <v>2021</v>
      </c>
      <c r="D295" s="1072">
        <v>370000</v>
      </c>
      <c r="E295" s="63">
        <f>D295*'16-PlantAdditions'!$E$103</f>
        <v>27750</v>
      </c>
      <c r="F295" s="63">
        <f t="shared" si="49"/>
        <v>397750</v>
      </c>
      <c r="G295" s="1072">
        <v>0</v>
      </c>
      <c r="H295" s="1072">
        <v>0</v>
      </c>
      <c r="I295" s="63">
        <f>(G295-H295)*'16-PlantAdditions'!$E$103</f>
        <v>0</v>
      </c>
      <c r="J295" s="63">
        <f t="shared" si="50"/>
        <v>6913162.1849999996</v>
      </c>
      <c r="K295" s="63">
        <f t="shared" si="51"/>
        <v>6611915.4249999998</v>
      </c>
    </row>
    <row r="296" spans="1:11" s="671" customFormat="1" ht="13">
      <c r="A296" s="109">
        <f t="shared" si="48"/>
        <v>227</v>
      </c>
      <c r="B296" s="631" t="s">
        <v>183</v>
      </c>
      <c r="C296" s="632">
        <v>2021</v>
      </c>
      <c r="D296" s="1072">
        <v>370000</v>
      </c>
      <c r="E296" s="63">
        <f>D296*'16-PlantAdditions'!$E$103</f>
        <v>27750</v>
      </c>
      <c r="F296" s="63">
        <f t="shared" si="49"/>
        <v>397750</v>
      </c>
      <c r="G296" s="1072">
        <v>0</v>
      </c>
      <c r="H296" s="1072">
        <v>0</v>
      </c>
      <c r="I296" s="63">
        <f>(G296-H296)*'16-PlantAdditions'!$E$103</f>
        <v>0</v>
      </c>
      <c r="J296" s="63">
        <f t="shared" si="50"/>
        <v>7310912.1849999996</v>
      </c>
      <c r="K296" s="63">
        <f t="shared" si="51"/>
        <v>7009665.4249999998</v>
      </c>
    </row>
    <row r="297" spans="1:11" s="671" customFormat="1" ht="13">
      <c r="A297" s="109">
        <f t="shared" si="48"/>
        <v>228</v>
      </c>
      <c r="B297" s="634" t="s">
        <v>184</v>
      </c>
      <c r="C297" s="632">
        <v>2021</v>
      </c>
      <c r="D297" s="1072">
        <v>370000</v>
      </c>
      <c r="E297" s="63">
        <f>D297*'16-PlantAdditions'!$E$103</f>
        <v>27750</v>
      </c>
      <c r="F297" s="63">
        <f t="shared" si="49"/>
        <v>397750</v>
      </c>
      <c r="G297" s="1072">
        <v>0</v>
      </c>
      <c r="H297" s="1072">
        <v>0</v>
      </c>
      <c r="I297" s="63">
        <f>(G297-H297)*'16-PlantAdditions'!$E$103</f>
        <v>0</v>
      </c>
      <c r="J297" s="63">
        <f t="shared" si="50"/>
        <v>7708662.1849999996</v>
      </c>
      <c r="K297" s="63">
        <f t="shared" si="51"/>
        <v>7407415.4249999998</v>
      </c>
    </row>
    <row r="298" spans="1:11" s="671" customFormat="1" ht="13">
      <c r="A298" s="109">
        <f t="shared" si="48"/>
        <v>229</v>
      </c>
      <c r="B298" s="634" t="s">
        <v>1464</v>
      </c>
      <c r="C298" s="632">
        <v>2021</v>
      </c>
      <c r="D298" s="1072">
        <v>370000</v>
      </c>
      <c r="E298" s="63">
        <f>D298*'16-PlantAdditions'!$E$103</f>
        <v>27750</v>
      </c>
      <c r="F298" s="63">
        <f t="shared" si="49"/>
        <v>397750</v>
      </c>
      <c r="G298" s="1072">
        <v>0</v>
      </c>
      <c r="H298" s="1072">
        <v>0</v>
      </c>
      <c r="I298" s="63">
        <f>(G298-H298)*'16-PlantAdditions'!$E$103</f>
        <v>0</v>
      </c>
      <c r="J298" s="63">
        <f t="shared" si="50"/>
        <v>8106412.1849999996</v>
      </c>
      <c r="K298" s="63">
        <f t="shared" si="51"/>
        <v>7805165.4249999998</v>
      </c>
    </row>
    <row r="299" spans="1:11" s="671" customFormat="1" ht="13">
      <c r="A299" s="109">
        <f t="shared" si="48"/>
        <v>230</v>
      </c>
      <c r="B299" s="631" t="s">
        <v>186</v>
      </c>
      <c r="C299" s="632">
        <v>2021</v>
      </c>
      <c r="D299" s="1072">
        <v>370000</v>
      </c>
      <c r="E299" s="63">
        <f>D299*'16-PlantAdditions'!$E$103</f>
        <v>27750</v>
      </c>
      <c r="F299" s="63">
        <f t="shared" si="49"/>
        <v>397750</v>
      </c>
      <c r="G299" s="1072">
        <v>0</v>
      </c>
      <c r="H299" s="1072">
        <v>0</v>
      </c>
      <c r="I299" s="63">
        <f>(G299-H299)*'16-PlantAdditions'!$E$103</f>
        <v>0</v>
      </c>
      <c r="J299" s="63">
        <f t="shared" si="50"/>
        <v>8504162.1849999987</v>
      </c>
      <c r="K299" s="63">
        <f t="shared" si="51"/>
        <v>8202915.4249999989</v>
      </c>
    </row>
    <row r="300" spans="1:11" s="671" customFormat="1" ht="13">
      <c r="A300" s="109">
        <f t="shared" si="48"/>
        <v>231</v>
      </c>
      <c r="B300" s="634" t="s">
        <v>187</v>
      </c>
      <c r="C300" s="632">
        <v>2021</v>
      </c>
      <c r="D300" s="1072">
        <v>370000</v>
      </c>
      <c r="E300" s="63">
        <f>D300*'16-PlantAdditions'!$E$103</f>
        <v>27750</v>
      </c>
      <c r="F300" s="63">
        <f t="shared" si="49"/>
        <v>397750</v>
      </c>
      <c r="G300" s="1072">
        <v>0</v>
      </c>
      <c r="H300" s="1072">
        <v>0</v>
      </c>
      <c r="I300" s="63">
        <f>(G300-H300)*'16-PlantAdditions'!$E$103</f>
        <v>0</v>
      </c>
      <c r="J300" s="63">
        <f t="shared" si="50"/>
        <v>8901912.1849999987</v>
      </c>
      <c r="K300" s="63">
        <f t="shared" si="51"/>
        <v>8600665.4249999989</v>
      </c>
    </row>
    <row r="301" spans="1:11" s="671" customFormat="1" ht="13">
      <c r="A301" s="109">
        <f t="shared" si="48"/>
        <v>232</v>
      </c>
      <c r="B301" s="634" t="s">
        <v>188</v>
      </c>
      <c r="C301" s="632">
        <v>2021</v>
      </c>
      <c r="D301" s="1072">
        <v>370000</v>
      </c>
      <c r="E301" s="63">
        <f>D301*'16-PlantAdditions'!$E$103</f>
        <v>27750</v>
      </c>
      <c r="F301" s="63">
        <f t="shared" si="49"/>
        <v>397750</v>
      </c>
      <c r="G301" s="1072">
        <v>8671865.7599999979</v>
      </c>
      <c r="H301" s="1072">
        <v>301246.76</v>
      </c>
      <c r="I301" s="63">
        <f>(G301-H301)*'16-PlantAdditions'!$E$103</f>
        <v>627796.42499999981</v>
      </c>
      <c r="J301" s="63">
        <f t="shared" si="50"/>
        <v>9.3132257461547852E-10</v>
      </c>
      <c r="K301" s="63">
        <f t="shared" si="51"/>
        <v>-301246.75999999908</v>
      </c>
    </row>
    <row r="302" spans="1:11" s="671" customFormat="1" ht="13">
      <c r="A302" s="109">
        <f t="shared" si="48"/>
        <v>233</v>
      </c>
      <c r="B302" s="634" t="s">
        <v>191</v>
      </c>
      <c r="C302" s="632">
        <v>2021</v>
      </c>
      <c r="D302" s="1072">
        <v>370000</v>
      </c>
      <c r="E302" s="63">
        <f>D302*'16-PlantAdditions'!$E$103</f>
        <v>27750</v>
      </c>
      <c r="F302" s="63">
        <f>E302+D302</f>
        <v>397750</v>
      </c>
      <c r="G302" s="1072">
        <v>370000</v>
      </c>
      <c r="H302" s="1072">
        <v>0</v>
      </c>
      <c r="I302" s="63">
        <f>(G302-H302)*'16-PlantAdditions'!$E$103</f>
        <v>27750</v>
      </c>
      <c r="J302" s="63">
        <f>J301+F302-G302-I302</f>
        <v>9.3132257461547852E-10</v>
      </c>
      <c r="K302" s="63">
        <f t="shared" si="51"/>
        <v>-301246.75999999908</v>
      </c>
    </row>
    <row r="303" spans="1:11" s="671" customFormat="1" ht="13">
      <c r="A303" s="109">
        <f t="shared" si="48"/>
        <v>234</v>
      </c>
      <c r="B303" s="634" t="s">
        <v>190</v>
      </c>
      <c r="C303" s="632">
        <v>2021</v>
      </c>
      <c r="D303" s="1072">
        <v>370000</v>
      </c>
      <c r="E303" s="63">
        <f>D303*'16-PlantAdditions'!$E$103</f>
        <v>27750</v>
      </c>
      <c r="F303" s="63">
        <f>E303+D303</f>
        <v>397750</v>
      </c>
      <c r="G303" s="1072">
        <v>370000</v>
      </c>
      <c r="H303" s="1072">
        <v>0</v>
      </c>
      <c r="I303" s="63">
        <f>(G303-H303)*'16-PlantAdditions'!$E$103</f>
        <v>27750</v>
      </c>
      <c r="J303" s="63">
        <f>J302+F303-G303-I303</f>
        <v>9.3132257461547852E-10</v>
      </c>
      <c r="K303" s="63">
        <f t="shared" si="51"/>
        <v>-301246.75999999908</v>
      </c>
    </row>
    <row r="304" spans="1:11" s="671" customFormat="1" ht="13">
      <c r="A304" s="109">
        <f t="shared" si="48"/>
        <v>235</v>
      </c>
      <c r="B304" s="634" t="s">
        <v>180</v>
      </c>
      <c r="C304" s="632">
        <v>2021</v>
      </c>
      <c r="D304" s="1072">
        <v>369733</v>
      </c>
      <c r="E304" s="63">
        <f>D304*'16-PlantAdditions'!$E$103</f>
        <v>27729.974999999999</v>
      </c>
      <c r="F304" s="63">
        <f>E304+D304</f>
        <v>397462.97499999998</v>
      </c>
      <c r="G304" s="1072">
        <v>369733</v>
      </c>
      <c r="H304" s="1072">
        <v>0</v>
      </c>
      <c r="I304" s="63">
        <f>(G304-H304)*'16-PlantAdditions'!$E$103</f>
        <v>27729.974999999999</v>
      </c>
      <c r="J304" s="63">
        <f>J303+F304-G304-I304</f>
        <v>9.0949470177292824E-10</v>
      </c>
      <c r="K304" s="110">
        <f t="shared" si="51"/>
        <v>-301246.75999999908</v>
      </c>
    </row>
    <row r="305" spans="1:12" s="671" customFormat="1" ht="13">
      <c r="A305" s="109">
        <f t="shared" si="48"/>
        <v>236</v>
      </c>
      <c r="B305"/>
      <c r="C305" s="670" t="s">
        <v>1614</v>
      </c>
      <c r="D305"/>
      <c r="E305"/>
      <c r="F305"/>
      <c r="G305"/>
      <c r="H305"/>
      <c r="I305"/>
      <c r="J305"/>
      <c r="K305" s="73">
        <f>AVERAGE(K292:K304)</f>
        <v>4760153.9834615383</v>
      </c>
    </row>
    <row r="306" spans="1:12" s="671" customFormat="1" ht="13">
      <c r="A306" s="109"/>
      <c r="B306"/>
      <c r="C306" s="670"/>
      <c r="D306"/>
      <c r="E306"/>
      <c r="F306"/>
      <c r="G306"/>
      <c r="H306"/>
      <c r="I306"/>
      <c r="J306"/>
      <c r="K306" s="73"/>
    </row>
    <row r="307" spans="1:12" s="671" customFormat="1" ht="13">
      <c r="B307" s="672" t="s">
        <v>1947</v>
      </c>
      <c r="D307" s="1396" t="s">
        <v>2450</v>
      </c>
      <c r="E307" s="1396"/>
    </row>
    <row r="308" spans="1:12" s="671" customFormat="1" ht="13">
      <c r="A308" s="666"/>
      <c r="B308" s="666"/>
      <c r="C308" s="666"/>
      <c r="D308" s="666" t="s">
        <v>359</v>
      </c>
      <c r="E308" s="666" t="s">
        <v>343</v>
      </c>
      <c r="F308" s="666" t="s">
        <v>344</v>
      </c>
      <c r="G308" s="666" t="s">
        <v>345</v>
      </c>
      <c r="H308" s="666" t="s">
        <v>346</v>
      </c>
      <c r="I308" s="666" t="s">
        <v>347</v>
      </c>
      <c r="J308" s="666" t="s">
        <v>348</v>
      </c>
      <c r="K308" s="666" t="s">
        <v>537</v>
      </c>
    </row>
    <row r="309" spans="1:12" s="671" customFormat="1" ht="25.5">
      <c r="D309" s="673"/>
      <c r="E309" s="674" t="s">
        <v>2069</v>
      </c>
      <c r="F309" s="675" t="s">
        <v>1937</v>
      </c>
      <c r="G309" s="485"/>
      <c r="H309" s="673"/>
      <c r="I309" s="674" t="s">
        <v>2070</v>
      </c>
      <c r="J309" s="674" t="s">
        <v>1938</v>
      </c>
      <c r="K309" s="674" t="s">
        <v>1939</v>
      </c>
    </row>
    <row r="310" spans="1:12" s="671" customFormat="1" ht="13">
      <c r="D310" s="673"/>
      <c r="E310" s="673"/>
      <c r="F310" s="673"/>
      <c r="G310" s="572" t="str">
        <f>G51</f>
        <v>Unloaded</v>
      </c>
      <c r="H310" s="673"/>
      <c r="I310" s="673"/>
    </row>
    <row r="311" spans="1:12" s="671" customFormat="1" ht="13">
      <c r="A311" s="668"/>
      <c r="B311" s="668"/>
      <c r="C311" s="668"/>
      <c r="D311" s="668" t="str">
        <f>D$52</f>
        <v>Forecast</v>
      </c>
      <c r="E311" s="668" t="str">
        <f t="shared" ref="E311:J311" si="52">E$52</f>
        <v>Corporate</v>
      </c>
      <c r="F311" s="668" t="str">
        <f t="shared" si="52"/>
        <v xml:space="preserve">Total </v>
      </c>
      <c r="G311" s="572" t="str">
        <f>G52</f>
        <v>Total</v>
      </c>
      <c r="H311" s="668" t="str">
        <f t="shared" si="52"/>
        <v>Prior Period</v>
      </c>
      <c r="I311" s="668" t="str">
        <f t="shared" si="52"/>
        <v>Over Heads</v>
      </c>
      <c r="J311" s="668" t="str">
        <f t="shared" si="52"/>
        <v>Forecast</v>
      </c>
      <c r="K311" s="572" t="str">
        <f>K$52</f>
        <v>Forecast Period</v>
      </c>
    </row>
    <row r="312" spans="1:12" s="671" customFormat="1" ht="13">
      <c r="A312" s="910" t="s">
        <v>330</v>
      </c>
      <c r="B312" s="630" t="s">
        <v>192</v>
      </c>
      <c r="C312" s="630" t="s">
        <v>193</v>
      </c>
      <c r="D312" s="666" t="str">
        <f>D$53</f>
        <v>Expenditures</v>
      </c>
      <c r="E312" s="666" t="str">
        <f t="shared" ref="E312:J312" si="53">E$53</f>
        <v>Overheads</v>
      </c>
      <c r="F312" s="666" t="str">
        <f t="shared" si="53"/>
        <v>CWIP Exp</v>
      </c>
      <c r="G312" s="3" t="str">
        <f>G53</f>
        <v>Plant Adds</v>
      </c>
      <c r="H312" s="666" t="str">
        <f t="shared" si="53"/>
        <v>CWIP Closed</v>
      </c>
      <c r="I312" s="666" t="str">
        <f t="shared" si="53"/>
        <v>Closed to PIS</v>
      </c>
      <c r="J312" s="666" t="str">
        <f t="shared" si="53"/>
        <v>Period CWIP</v>
      </c>
      <c r="K312" s="666" t="str">
        <f>K$53</f>
        <v>Incremental CWIP</v>
      </c>
    </row>
    <row r="313" spans="1:12" s="671" customFormat="1" ht="13">
      <c r="A313" s="109">
        <f>A305+1</f>
        <v>237</v>
      </c>
      <c r="B313" s="631" t="s">
        <v>180</v>
      </c>
      <c r="C313" s="632">
        <v>2019</v>
      </c>
      <c r="D313" s="675" t="s">
        <v>76</v>
      </c>
      <c r="E313" s="675" t="s">
        <v>76</v>
      </c>
      <c r="F313" s="675" t="s">
        <v>76</v>
      </c>
      <c r="G313" s="675" t="s">
        <v>76</v>
      </c>
      <c r="H313" s="675" t="s">
        <v>76</v>
      </c>
      <c r="I313" s="675" t="s">
        <v>76</v>
      </c>
      <c r="J313" s="63">
        <f>F45</f>
        <v>49854942.909999996</v>
      </c>
      <c r="K313" s="675" t="s">
        <v>76</v>
      </c>
    </row>
    <row r="314" spans="1:12" s="671" customFormat="1" ht="13">
      <c r="A314" s="109">
        <f>A313+1</f>
        <v>238</v>
      </c>
      <c r="B314" s="631" t="s">
        <v>181</v>
      </c>
      <c r="C314" s="632">
        <v>2020</v>
      </c>
      <c r="D314" s="1072">
        <v>4061738.8068000008</v>
      </c>
      <c r="E314" s="63">
        <f>D314*'16-PlantAdditions'!$E$103</f>
        <v>304630.41051000007</v>
      </c>
      <c r="F314" s="63">
        <f>E314+D314</f>
        <v>4366369.2173100011</v>
      </c>
      <c r="G314" s="1072">
        <v>1498716.8068000001</v>
      </c>
      <c r="H314" s="1072">
        <v>0</v>
      </c>
      <c r="I314" s="63">
        <f>(G314-H314)*'16-PlantAdditions'!$E$103</f>
        <v>112403.76051000001</v>
      </c>
      <c r="J314" s="63">
        <f>J313+F314-G314-I314</f>
        <v>52610191.560000002</v>
      </c>
      <c r="K314" s="63">
        <f>J314-$J$313</f>
        <v>2755248.650000006</v>
      </c>
      <c r="L314" s="668"/>
    </row>
    <row r="315" spans="1:12" s="671" customFormat="1" ht="13">
      <c r="A315" s="109">
        <f t="shared" ref="A315:A338" si="54">A314+1</f>
        <v>239</v>
      </c>
      <c r="B315" s="634" t="s">
        <v>182</v>
      </c>
      <c r="C315" s="632">
        <v>2020</v>
      </c>
      <c r="D315" s="1072">
        <v>5880074.051</v>
      </c>
      <c r="E315" s="63">
        <f>D315*'16-PlantAdditions'!$E$103</f>
        <v>441005.55382500001</v>
      </c>
      <c r="F315" s="63">
        <f t="shared" ref="F315:F334" si="55">E315+D315</f>
        <v>6321079.6048250003</v>
      </c>
      <c r="G315" s="1072">
        <v>821950.05100000021</v>
      </c>
      <c r="H315" s="1072">
        <v>0</v>
      </c>
      <c r="I315" s="63">
        <f>(G315-H315)*'16-PlantAdditions'!$E$103</f>
        <v>61646.253825000014</v>
      </c>
      <c r="J315" s="63">
        <f t="shared" ref="J315:J334" si="56">J314+F315-G315-I315</f>
        <v>58047674.859999999</v>
      </c>
      <c r="K315" s="63">
        <f t="shared" ref="K315:K337" si="57">J315-$J$313</f>
        <v>8192731.950000003</v>
      </c>
      <c r="L315" s="668"/>
    </row>
    <row r="316" spans="1:12" s="671" customFormat="1" ht="13">
      <c r="A316" s="109">
        <f t="shared" si="54"/>
        <v>240</v>
      </c>
      <c r="B316" s="634" t="s">
        <v>195</v>
      </c>
      <c r="C316" s="632">
        <v>2020</v>
      </c>
      <c r="D316" s="1072">
        <v>4900388.102</v>
      </c>
      <c r="E316" s="63">
        <f>D316*'16-PlantAdditions'!$E$103</f>
        <v>367529.10764999996</v>
      </c>
      <c r="F316" s="63">
        <f t="shared" si="55"/>
        <v>5267917.2096499996</v>
      </c>
      <c r="G316" s="1072">
        <v>662429.10199999996</v>
      </c>
      <c r="H316" s="1072">
        <v>0</v>
      </c>
      <c r="I316" s="63">
        <f>(G316-H316)*'16-PlantAdditions'!$E$103</f>
        <v>49682.182649999995</v>
      </c>
      <c r="J316" s="63">
        <f t="shared" si="56"/>
        <v>62603480.785000004</v>
      </c>
      <c r="K316" s="63">
        <f t="shared" si="57"/>
        <v>12748537.875000007</v>
      </c>
      <c r="L316" s="668"/>
    </row>
    <row r="317" spans="1:12" s="671" customFormat="1" ht="13">
      <c r="A317" s="109">
        <f t="shared" si="54"/>
        <v>241</v>
      </c>
      <c r="B317" s="631" t="s">
        <v>183</v>
      </c>
      <c r="C317" s="632">
        <v>2020</v>
      </c>
      <c r="D317" s="1072">
        <v>10164324.310000001</v>
      </c>
      <c r="E317" s="63">
        <f>D317*'16-PlantAdditions'!$E$103</f>
        <v>762324.32325000002</v>
      </c>
      <c r="F317" s="63">
        <f t="shared" si="55"/>
        <v>10926648.63325</v>
      </c>
      <c r="G317" s="1072">
        <v>123635.31</v>
      </c>
      <c r="H317" s="1072">
        <v>0</v>
      </c>
      <c r="I317" s="63">
        <f>(G317-H317)*'16-PlantAdditions'!$E$103</f>
        <v>9272.6482500000002</v>
      </c>
      <c r="J317" s="63">
        <f t="shared" si="56"/>
        <v>73397221.460000008</v>
      </c>
      <c r="K317" s="63">
        <f t="shared" si="57"/>
        <v>23542278.550000012</v>
      </c>
      <c r="L317" s="666"/>
    </row>
    <row r="318" spans="1:12" s="671" customFormat="1" ht="13">
      <c r="A318" s="109">
        <f t="shared" si="54"/>
        <v>242</v>
      </c>
      <c r="B318" s="634" t="s">
        <v>184</v>
      </c>
      <c r="C318" s="632">
        <v>2020</v>
      </c>
      <c r="D318" s="1072">
        <v>14976454.309999999</v>
      </c>
      <c r="E318" s="63">
        <f>D318*'16-PlantAdditions'!$E$103</f>
        <v>1123234.0732499999</v>
      </c>
      <c r="F318" s="63">
        <f t="shared" si="55"/>
        <v>16099688.383249998</v>
      </c>
      <c r="G318" s="1072">
        <v>440868.45000000007</v>
      </c>
      <c r="H318" s="1072">
        <v>344737.14</v>
      </c>
      <c r="I318" s="63">
        <f>(G318-H318)*'16-PlantAdditions'!$E$103</f>
        <v>7209.8482500000036</v>
      </c>
      <c r="J318" s="63">
        <f t="shared" si="56"/>
        <v>89048831.545000002</v>
      </c>
      <c r="K318" s="63">
        <f t="shared" si="57"/>
        <v>39193888.635000005</v>
      </c>
    </row>
    <row r="319" spans="1:12" s="671" customFormat="1" ht="13">
      <c r="A319" s="109">
        <f t="shared" si="54"/>
        <v>243</v>
      </c>
      <c r="B319" s="634" t="s">
        <v>1464</v>
      </c>
      <c r="C319" s="632">
        <v>2020</v>
      </c>
      <c r="D319" s="1072">
        <v>9728852.5857999995</v>
      </c>
      <c r="E319" s="63">
        <f>D319*'16-PlantAdditions'!$E$103</f>
        <v>729663.94393499999</v>
      </c>
      <c r="F319" s="63">
        <f t="shared" si="55"/>
        <v>10458516.529734999</v>
      </c>
      <c r="G319" s="1072">
        <v>541379.6057999999</v>
      </c>
      <c r="H319" s="1072">
        <v>253117.02</v>
      </c>
      <c r="I319" s="63">
        <f>(G319-H319)*'16-PlantAdditions'!$E$103</f>
        <v>21619.693934999992</v>
      </c>
      <c r="J319" s="63">
        <f t="shared" si="56"/>
        <v>98944348.774999991</v>
      </c>
      <c r="K319" s="63">
        <f t="shared" si="57"/>
        <v>49089405.864999995</v>
      </c>
    </row>
    <row r="320" spans="1:12" s="671" customFormat="1" ht="13">
      <c r="A320" s="109">
        <f t="shared" si="54"/>
        <v>244</v>
      </c>
      <c r="B320" s="631" t="s">
        <v>186</v>
      </c>
      <c r="C320" s="632">
        <v>2020</v>
      </c>
      <c r="D320" s="1072">
        <v>11353872.139999999</v>
      </c>
      <c r="E320" s="63">
        <f>D320*'16-PlantAdditions'!$E$103</f>
        <v>851540.41049999988</v>
      </c>
      <c r="F320" s="63">
        <f t="shared" si="55"/>
        <v>12205412.550499998</v>
      </c>
      <c r="G320" s="1072">
        <v>5632.1399999999994</v>
      </c>
      <c r="H320" s="1072">
        <v>0</v>
      </c>
      <c r="I320" s="63">
        <f>(G320-H320)*'16-PlantAdditions'!$E$103</f>
        <v>422.41049999999996</v>
      </c>
      <c r="J320" s="63">
        <f t="shared" si="56"/>
        <v>111143706.77499998</v>
      </c>
      <c r="K320" s="63">
        <f t="shared" si="57"/>
        <v>61288763.86499998</v>
      </c>
    </row>
    <row r="321" spans="1:11" s="671" customFormat="1" ht="13">
      <c r="A321" s="109">
        <f t="shared" si="54"/>
        <v>245</v>
      </c>
      <c r="B321" s="634" t="s">
        <v>187</v>
      </c>
      <c r="C321" s="632">
        <v>2020</v>
      </c>
      <c r="D321" s="1072">
        <v>7061094.1400000006</v>
      </c>
      <c r="E321" s="63">
        <f>D321*'16-PlantAdditions'!$E$103</f>
        <v>529582.06050000002</v>
      </c>
      <c r="F321" s="63">
        <f t="shared" si="55"/>
        <v>7590676.2005000003</v>
      </c>
      <c r="G321" s="1072">
        <v>5632.1399999999994</v>
      </c>
      <c r="H321" s="1072">
        <v>0</v>
      </c>
      <c r="I321" s="63">
        <f>(G321-H321)*'16-PlantAdditions'!$E$103</f>
        <v>422.41049999999996</v>
      </c>
      <c r="J321" s="63">
        <f t="shared" si="56"/>
        <v>118728328.42499997</v>
      </c>
      <c r="K321" s="63">
        <f t="shared" si="57"/>
        <v>68873385.514999971</v>
      </c>
    </row>
    <row r="322" spans="1:11" s="671" customFormat="1" ht="13">
      <c r="A322" s="109">
        <f t="shared" si="54"/>
        <v>246</v>
      </c>
      <c r="B322" s="634" t="s">
        <v>188</v>
      </c>
      <c r="C322" s="632">
        <v>2020</v>
      </c>
      <c r="D322" s="1072">
        <v>9451395.1399999987</v>
      </c>
      <c r="E322" s="63">
        <f>D322*'16-PlantAdditions'!$E$103</f>
        <v>708854.63549999986</v>
      </c>
      <c r="F322" s="63">
        <f t="shared" si="55"/>
        <v>10160249.7755</v>
      </c>
      <c r="G322" s="1072">
        <v>5632.1399999999994</v>
      </c>
      <c r="H322" s="1072">
        <v>0</v>
      </c>
      <c r="I322" s="63">
        <f>(G322-H322)*'16-PlantAdditions'!$E$103</f>
        <v>422.41049999999996</v>
      </c>
      <c r="J322" s="63">
        <f t="shared" si="56"/>
        <v>128882523.64999996</v>
      </c>
      <c r="K322" s="63">
        <f t="shared" si="57"/>
        <v>79027580.739999965</v>
      </c>
    </row>
    <row r="323" spans="1:11" s="671" customFormat="1" ht="13">
      <c r="A323" s="109">
        <f t="shared" si="54"/>
        <v>247</v>
      </c>
      <c r="B323" s="631" t="s">
        <v>191</v>
      </c>
      <c r="C323" s="632">
        <v>2020</v>
      </c>
      <c r="D323" s="1072">
        <v>5025379.1399999997</v>
      </c>
      <c r="E323" s="63">
        <f>D323*'16-PlantAdditions'!$E$103</f>
        <v>376903.43549999996</v>
      </c>
      <c r="F323" s="63">
        <f t="shared" si="55"/>
        <v>5402282.5754999993</v>
      </c>
      <c r="G323" s="1072">
        <v>5632.1399999999994</v>
      </c>
      <c r="H323" s="1072">
        <v>0</v>
      </c>
      <c r="I323" s="63">
        <f>(G323-H323)*'16-PlantAdditions'!$E$103</f>
        <v>422.41049999999996</v>
      </c>
      <c r="J323" s="63">
        <f t="shared" si="56"/>
        <v>134278751.67499998</v>
      </c>
      <c r="K323" s="63">
        <f t="shared" si="57"/>
        <v>84423808.764999986</v>
      </c>
    </row>
    <row r="324" spans="1:11" s="671" customFormat="1" ht="13">
      <c r="A324" s="109">
        <f t="shared" si="54"/>
        <v>248</v>
      </c>
      <c r="B324" s="631" t="s">
        <v>190</v>
      </c>
      <c r="C324" s="632">
        <v>2020</v>
      </c>
      <c r="D324" s="1072">
        <v>3190394.1399999997</v>
      </c>
      <c r="E324" s="63">
        <f>D324*'16-PlantAdditions'!$E$103</f>
        <v>239279.56049999996</v>
      </c>
      <c r="F324" s="63">
        <f t="shared" si="55"/>
        <v>3429673.7004999998</v>
      </c>
      <c r="G324" s="1072">
        <v>5632.1399999999994</v>
      </c>
      <c r="H324" s="1072">
        <v>0</v>
      </c>
      <c r="I324" s="63">
        <f>(G324-H324)*'16-PlantAdditions'!$E$103</f>
        <v>422.41049999999996</v>
      </c>
      <c r="J324" s="63">
        <f t="shared" si="56"/>
        <v>137702370.82500002</v>
      </c>
      <c r="K324" s="63">
        <f t="shared" si="57"/>
        <v>87847427.915000021</v>
      </c>
    </row>
    <row r="325" spans="1:11" s="671" customFormat="1" ht="13">
      <c r="A325" s="109">
        <f t="shared" si="54"/>
        <v>249</v>
      </c>
      <c r="B325" s="631" t="s">
        <v>180</v>
      </c>
      <c r="C325" s="632">
        <v>2020</v>
      </c>
      <c r="D325" s="1072">
        <v>22425697.471199997</v>
      </c>
      <c r="E325" s="63">
        <f>D325*'16-PlantAdditions'!$E$103</f>
        <v>1681927.3103399996</v>
      </c>
      <c r="F325" s="63">
        <f t="shared" si="55"/>
        <v>24107624.781539995</v>
      </c>
      <c r="G325" s="1072">
        <v>25164759.4912</v>
      </c>
      <c r="H325" s="1072">
        <v>15559979.02</v>
      </c>
      <c r="I325" s="63">
        <f>(G325-H325)*'16-PlantAdditions'!$E$103</f>
        <v>720358.53534000006</v>
      </c>
      <c r="J325" s="63">
        <f t="shared" si="56"/>
        <v>135924877.58000001</v>
      </c>
      <c r="K325" s="63">
        <f t="shared" si="57"/>
        <v>86069934.670000017</v>
      </c>
    </row>
    <row r="326" spans="1:11" s="671" customFormat="1" ht="13">
      <c r="A326" s="109">
        <f t="shared" si="54"/>
        <v>250</v>
      </c>
      <c r="B326" s="631" t="s">
        <v>181</v>
      </c>
      <c r="C326" s="632">
        <v>2021</v>
      </c>
      <c r="D326" s="1072">
        <v>8468791.0000000019</v>
      </c>
      <c r="E326" s="63">
        <f>D326*'16-PlantAdditions'!$E$103</f>
        <v>635159.32500000007</v>
      </c>
      <c r="F326" s="63">
        <f t="shared" si="55"/>
        <v>9103950.3250000011</v>
      </c>
      <c r="G326" s="1072">
        <v>386600</v>
      </c>
      <c r="H326" s="1072">
        <v>0</v>
      </c>
      <c r="I326" s="63">
        <f>(G326-H326)*'16-PlantAdditions'!$E$103</f>
        <v>28995</v>
      </c>
      <c r="J326" s="63">
        <f t="shared" si="56"/>
        <v>144613232.905</v>
      </c>
      <c r="K326" s="63">
        <f t="shared" si="57"/>
        <v>94758289.995000005</v>
      </c>
    </row>
    <row r="327" spans="1:11" s="671" customFormat="1" ht="13">
      <c r="A327" s="109">
        <f t="shared" si="54"/>
        <v>251</v>
      </c>
      <c r="B327" s="634" t="s">
        <v>182</v>
      </c>
      <c r="C327" s="632">
        <v>2021</v>
      </c>
      <c r="D327" s="1072">
        <v>6702363</v>
      </c>
      <c r="E327" s="63">
        <f>D327*'16-PlantAdditions'!$E$103</f>
        <v>502677.22499999998</v>
      </c>
      <c r="F327" s="63">
        <f t="shared" si="55"/>
        <v>7205040.2249999996</v>
      </c>
      <c r="G327" s="1072">
        <v>386600</v>
      </c>
      <c r="H327" s="1072">
        <v>0</v>
      </c>
      <c r="I327" s="63">
        <f>(G327-H327)*'16-PlantAdditions'!$E$103</f>
        <v>28995</v>
      </c>
      <c r="J327" s="63">
        <f t="shared" si="56"/>
        <v>151402678.13</v>
      </c>
      <c r="K327" s="63">
        <f t="shared" si="57"/>
        <v>101547735.22</v>
      </c>
    </row>
    <row r="328" spans="1:11" s="671" customFormat="1" ht="13">
      <c r="A328" s="109">
        <f t="shared" si="54"/>
        <v>252</v>
      </c>
      <c r="B328" s="634" t="s">
        <v>195</v>
      </c>
      <c r="C328" s="632">
        <v>2021</v>
      </c>
      <c r="D328" s="1072">
        <v>6702363</v>
      </c>
      <c r="E328" s="63">
        <f>D328*'16-PlantAdditions'!$E$103</f>
        <v>502677.22499999998</v>
      </c>
      <c r="F328" s="63">
        <f t="shared" si="55"/>
        <v>7205040.2249999996</v>
      </c>
      <c r="G328" s="1072">
        <v>386600</v>
      </c>
      <c r="H328" s="1072">
        <v>0</v>
      </c>
      <c r="I328" s="63">
        <f>(G328-H328)*'16-PlantAdditions'!$E$103</f>
        <v>28995</v>
      </c>
      <c r="J328" s="63">
        <f t="shared" si="56"/>
        <v>158192123.35499999</v>
      </c>
      <c r="K328" s="63">
        <f t="shared" si="57"/>
        <v>108337180.44499999</v>
      </c>
    </row>
    <row r="329" spans="1:11" s="671" customFormat="1" ht="13">
      <c r="A329" s="109">
        <f t="shared" si="54"/>
        <v>253</v>
      </c>
      <c r="B329" s="631" t="s">
        <v>183</v>
      </c>
      <c r="C329" s="632">
        <v>2021</v>
      </c>
      <c r="D329" s="1072">
        <v>5742718</v>
      </c>
      <c r="E329" s="63">
        <f>D329*'16-PlantAdditions'!$E$103</f>
        <v>430703.85</v>
      </c>
      <c r="F329" s="63">
        <f t="shared" si="55"/>
        <v>6173421.8499999996</v>
      </c>
      <c r="G329" s="1072">
        <v>276600</v>
      </c>
      <c r="H329" s="1072">
        <v>0</v>
      </c>
      <c r="I329" s="63">
        <f>(G329-H329)*'16-PlantAdditions'!$E$103</f>
        <v>20745</v>
      </c>
      <c r="J329" s="63">
        <f t="shared" si="56"/>
        <v>164068200.20499998</v>
      </c>
      <c r="K329" s="63">
        <f t="shared" si="57"/>
        <v>114213257.29499999</v>
      </c>
    </row>
    <row r="330" spans="1:11" s="671" customFormat="1" ht="13">
      <c r="A330" s="109">
        <f t="shared" si="54"/>
        <v>254</v>
      </c>
      <c r="B330" s="634" t="s">
        <v>184</v>
      </c>
      <c r="C330" s="632">
        <v>2021</v>
      </c>
      <c r="D330" s="1072">
        <v>5687218</v>
      </c>
      <c r="E330" s="63">
        <f>D330*'16-PlantAdditions'!$E$103</f>
        <v>426541.35</v>
      </c>
      <c r="F330" s="63">
        <f t="shared" si="55"/>
        <v>6113759.3499999996</v>
      </c>
      <c r="G330" s="1072">
        <v>586046.6</v>
      </c>
      <c r="H330" s="1072">
        <v>218065.59999999998</v>
      </c>
      <c r="I330" s="63">
        <f>(G330-H330)*'16-PlantAdditions'!$E$103</f>
        <v>27598.575000000001</v>
      </c>
      <c r="J330" s="63">
        <f t="shared" si="56"/>
        <v>169568314.38</v>
      </c>
      <c r="K330" s="63">
        <f t="shared" si="57"/>
        <v>119713371.47</v>
      </c>
    </row>
    <row r="331" spans="1:11" s="671" customFormat="1" ht="13">
      <c r="A331" s="109">
        <f t="shared" si="54"/>
        <v>255</v>
      </c>
      <c r="B331" s="634" t="s">
        <v>1464</v>
      </c>
      <c r="C331" s="632">
        <v>2021</v>
      </c>
      <c r="D331" s="1072">
        <v>5687218</v>
      </c>
      <c r="E331" s="63">
        <f>D331*'16-PlantAdditions'!$E$103</f>
        <v>426541.35</v>
      </c>
      <c r="F331" s="63">
        <f t="shared" si="55"/>
        <v>6113759.3499999996</v>
      </c>
      <c r="G331" s="1072">
        <v>281799.00000000006</v>
      </c>
      <c r="H331" s="1072">
        <v>0</v>
      </c>
      <c r="I331" s="63">
        <f>(G331-H331)*'16-PlantAdditions'!$E$103</f>
        <v>21134.925000000003</v>
      </c>
      <c r="J331" s="63">
        <f t="shared" si="56"/>
        <v>175379139.80499998</v>
      </c>
      <c r="K331" s="63">
        <f t="shared" si="57"/>
        <v>125524196.89499998</v>
      </c>
    </row>
    <row r="332" spans="1:11" s="671" customFormat="1" ht="13">
      <c r="A332" s="109">
        <f t="shared" si="54"/>
        <v>256</v>
      </c>
      <c r="B332" s="631" t="s">
        <v>186</v>
      </c>
      <c r="C332" s="632">
        <v>2021</v>
      </c>
      <c r="D332" s="1072">
        <v>5570617.9999999991</v>
      </c>
      <c r="E332" s="63">
        <f>D332*'16-PlantAdditions'!$E$103</f>
        <v>417796.34999999992</v>
      </c>
      <c r="F332" s="63">
        <f t="shared" si="55"/>
        <v>5988414.3499999987</v>
      </c>
      <c r="G332" s="1072">
        <v>165199</v>
      </c>
      <c r="H332" s="1072">
        <v>0</v>
      </c>
      <c r="I332" s="63">
        <f>(G332-H332)*'16-PlantAdditions'!$E$103</f>
        <v>12389.924999999999</v>
      </c>
      <c r="J332" s="63">
        <f t="shared" si="56"/>
        <v>181189965.22999996</v>
      </c>
      <c r="K332" s="63">
        <f t="shared" si="57"/>
        <v>131335022.31999996</v>
      </c>
    </row>
    <row r="333" spans="1:11" s="671" customFormat="1" ht="13">
      <c r="A333" s="109">
        <f t="shared" si="54"/>
        <v>257</v>
      </c>
      <c r="B333" s="634" t="s">
        <v>187</v>
      </c>
      <c r="C333" s="632">
        <v>2021</v>
      </c>
      <c r="D333" s="1072">
        <v>5570617.9999999991</v>
      </c>
      <c r="E333" s="63">
        <f>D333*'16-PlantAdditions'!$E$103</f>
        <v>417796.34999999992</v>
      </c>
      <c r="F333" s="63">
        <f t="shared" si="55"/>
        <v>5988414.3499999987</v>
      </c>
      <c r="G333" s="1072">
        <v>172165582.88999996</v>
      </c>
      <c r="H333" s="1072">
        <v>29189456.889999997</v>
      </c>
      <c r="I333" s="63">
        <f>(G333-H333)*'16-PlantAdditions'!$E$103</f>
        <v>10723209.449999997</v>
      </c>
      <c r="J333" s="63">
        <f t="shared" si="56"/>
        <v>4289587.24</v>
      </c>
      <c r="K333" s="63">
        <f t="shared" si="57"/>
        <v>-45565355.669999994</v>
      </c>
    </row>
    <row r="334" spans="1:11" s="671" customFormat="1" ht="13">
      <c r="A334" s="109">
        <f t="shared" si="54"/>
        <v>258</v>
      </c>
      <c r="B334" s="634" t="s">
        <v>188</v>
      </c>
      <c r="C334" s="632">
        <v>2021</v>
      </c>
      <c r="D334" s="1072">
        <v>5570617.9999999991</v>
      </c>
      <c r="E334" s="63">
        <f>D334*'16-PlantAdditions'!$E$103</f>
        <v>417796.34999999992</v>
      </c>
      <c r="F334" s="63">
        <f t="shared" si="55"/>
        <v>5988414.3499999987</v>
      </c>
      <c r="G334" s="1072">
        <v>5570617.9999999991</v>
      </c>
      <c r="H334" s="1072">
        <v>0</v>
      </c>
      <c r="I334" s="63">
        <f>(G334-H334)*'16-PlantAdditions'!$E$103</f>
        <v>417796.34999999992</v>
      </c>
      <c r="J334" s="63">
        <f t="shared" si="56"/>
        <v>4289587.2400000012</v>
      </c>
      <c r="K334" s="63">
        <f t="shared" si="57"/>
        <v>-45565355.669999994</v>
      </c>
    </row>
    <row r="335" spans="1:11" s="671" customFormat="1" ht="13">
      <c r="A335" s="109">
        <f t="shared" si="54"/>
        <v>259</v>
      </c>
      <c r="B335" s="634" t="s">
        <v>191</v>
      </c>
      <c r="C335" s="632">
        <v>2021</v>
      </c>
      <c r="D335" s="1072">
        <v>5570617.9999999991</v>
      </c>
      <c r="E335" s="63">
        <f>D335*'16-PlantAdditions'!$E$103</f>
        <v>417796.34999999992</v>
      </c>
      <c r="F335" s="63">
        <f>E335+D335</f>
        <v>5988414.3499999987</v>
      </c>
      <c r="G335" s="1072">
        <v>5570617.9999999991</v>
      </c>
      <c r="H335" s="1072">
        <v>0</v>
      </c>
      <c r="I335" s="63">
        <f>(G335-H335)*'16-PlantAdditions'!$E$103</f>
        <v>417796.34999999992</v>
      </c>
      <c r="J335" s="63">
        <f>J334+F335-G335-I335</f>
        <v>4289587.2400000012</v>
      </c>
      <c r="K335" s="63">
        <f t="shared" si="57"/>
        <v>-45565355.669999994</v>
      </c>
    </row>
    <row r="336" spans="1:11" s="671" customFormat="1" ht="13">
      <c r="A336" s="109">
        <f t="shared" si="54"/>
        <v>260</v>
      </c>
      <c r="B336" s="634" t="s">
        <v>190</v>
      </c>
      <c r="C336" s="632">
        <v>2021</v>
      </c>
      <c r="D336" s="1072">
        <v>5410617.9999999991</v>
      </c>
      <c r="E336" s="63">
        <f>D336*'16-PlantAdditions'!$E$103</f>
        <v>405796.34999999992</v>
      </c>
      <c r="F336" s="63">
        <f>E336+D336</f>
        <v>5816414.3499999987</v>
      </c>
      <c r="G336" s="1072">
        <v>5410617.9999999991</v>
      </c>
      <c r="H336" s="1072">
        <v>0</v>
      </c>
      <c r="I336" s="63">
        <f>(G336-H336)*'16-PlantAdditions'!$E$103</f>
        <v>405796.34999999992</v>
      </c>
      <c r="J336" s="63">
        <f>J335+F336-G336-I336</f>
        <v>4289587.2400000012</v>
      </c>
      <c r="K336" s="63">
        <f t="shared" si="57"/>
        <v>-45565355.669999994</v>
      </c>
    </row>
    <row r="337" spans="1:11" s="671" customFormat="1" ht="13">
      <c r="A337" s="109">
        <f t="shared" si="54"/>
        <v>261</v>
      </c>
      <c r="B337" s="634" t="s">
        <v>180</v>
      </c>
      <c r="C337" s="632">
        <v>2021</v>
      </c>
      <c r="D337" s="1072">
        <v>6149090.9999999991</v>
      </c>
      <c r="E337" s="63">
        <f>D337*'16-PlantAdditions'!$E$103</f>
        <v>461181.8249999999</v>
      </c>
      <c r="F337" s="63">
        <f>E337+D337</f>
        <v>6610272.8249999993</v>
      </c>
      <c r="G337" s="1072">
        <v>6149090.9999999991</v>
      </c>
      <c r="H337" s="1072">
        <v>0</v>
      </c>
      <c r="I337" s="63">
        <f>(G337-H337)*'16-PlantAdditions'!$E$103</f>
        <v>461181.8249999999</v>
      </c>
      <c r="J337" s="63">
        <f>J336+F337-G337-I337</f>
        <v>4289587.2400000021</v>
      </c>
      <c r="K337" s="110">
        <f t="shared" si="57"/>
        <v>-45565355.669999994</v>
      </c>
    </row>
    <row r="338" spans="1:11" s="671" customFormat="1" ht="13">
      <c r="A338" s="109">
        <f t="shared" si="54"/>
        <v>262</v>
      </c>
      <c r="B338"/>
      <c r="C338" s="670" t="s">
        <v>1614</v>
      </c>
      <c r="D338"/>
      <c r="E338"/>
      <c r="F338"/>
      <c r="G338"/>
      <c r="H338"/>
      <c r="I338"/>
      <c r="J338"/>
      <c r="K338" s="73">
        <f>AVERAGE(K325:K337)</f>
        <v>50282477.689230785</v>
      </c>
    </row>
    <row r="339" spans="1:11" s="671" customFormat="1" ht="13">
      <c r="A339" s="109"/>
      <c r="B339"/>
      <c r="C339" s="670"/>
      <c r="D339"/>
      <c r="E339"/>
      <c r="F339"/>
      <c r="G339"/>
      <c r="H339"/>
      <c r="I339"/>
      <c r="J339"/>
      <c r="K339" s="73"/>
    </row>
    <row r="340" spans="1:11" s="671" customFormat="1" ht="13">
      <c r="B340" s="672" t="s">
        <v>1948</v>
      </c>
      <c r="D340" s="1396" t="s">
        <v>2451</v>
      </c>
      <c r="E340" s="1396"/>
    </row>
    <row r="341" spans="1:11" s="671" customFormat="1" ht="13">
      <c r="D341" s="673"/>
      <c r="E341" s="673"/>
      <c r="F341" s="673"/>
      <c r="G341" s="572" t="str">
        <f>G51</f>
        <v>Unloaded</v>
      </c>
      <c r="H341" s="673"/>
      <c r="I341" s="673"/>
    </row>
    <row r="342" spans="1:11" s="671" customFormat="1" ht="13">
      <c r="A342" s="668"/>
      <c r="B342" s="668"/>
      <c r="C342" s="668"/>
      <c r="D342" s="668" t="str">
        <f>D$52</f>
        <v>Forecast</v>
      </c>
      <c r="E342" s="668" t="str">
        <f t="shared" ref="E342:J342" si="58">E$52</f>
        <v>Corporate</v>
      </c>
      <c r="F342" s="668" t="str">
        <f t="shared" si="58"/>
        <v xml:space="preserve">Total </v>
      </c>
      <c r="G342" s="572" t="str">
        <f>G52</f>
        <v>Total</v>
      </c>
      <c r="H342" s="668" t="str">
        <f t="shared" si="58"/>
        <v>Prior Period</v>
      </c>
      <c r="I342" s="668" t="str">
        <f t="shared" si="58"/>
        <v>Over Heads</v>
      </c>
      <c r="J342" s="668" t="str">
        <f t="shared" si="58"/>
        <v>Forecast</v>
      </c>
      <c r="K342" s="572" t="str">
        <f>K$52</f>
        <v>Forecast Period</v>
      </c>
    </row>
    <row r="343" spans="1:11" s="671" customFormat="1" ht="13">
      <c r="A343" s="910" t="s">
        <v>330</v>
      </c>
      <c r="B343" s="630" t="s">
        <v>192</v>
      </c>
      <c r="C343" s="630" t="s">
        <v>193</v>
      </c>
      <c r="D343" s="666" t="str">
        <f>D$53</f>
        <v>Expenditures</v>
      </c>
      <c r="E343" s="666" t="str">
        <f t="shared" ref="E343:J343" si="59">E$53</f>
        <v>Overheads</v>
      </c>
      <c r="F343" s="666" t="str">
        <f t="shared" si="59"/>
        <v>CWIP Exp</v>
      </c>
      <c r="G343" s="3" t="str">
        <f>G53</f>
        <v>Plant Adds</v>
      </c>
      <c r="H343" s="666" t="str">
        <f t="shared" si="59"/>
        <v>CWIP Closed</v>
      </c>
      <c r="I343" s="666" t="str">
        <f t="shared" si="59"/>
        <v>Closed to PIS</v>
      </c>
      <c r="J343" s="666" t="str">
        <f t="shared" si="59"/>
        <v>Period CWIP</v>
      </c>
      <c r="K343" s="666" t="str">
        <f>K$53</f>
        <v>Incremental CWIP</v>
      </c>
    </row>
    <row r="344" spans="1:11" s="671" customFormat="1" ht="13">
      <c r="A344" s="109">
        <f>A338+1</f>
        <v>263</v>
      </c>
      <c r="B344" s="631" t="s">
        <v>180</v>
      </c>
      <c r="C344" s="632">
        <v>2019</v>
      </c>
      <c r="D344" s="675" t="s">
        <v>76</v>
      </c>
      <c r="E344" s="675" t="s">
        <v>76</v>
      </c>
      <c r="F344" s="675" t="s">
        <v>76</v>
      </c>
      <c r="G344" s="675" t="s">
        <v>76</v>
      </c>
      <c r="H344" s="675" t="s">
        <v>76</v>
      </c>
      <c r="I344" s="675" t="s">
        <v>76</v>
      </c>
      <c r="J344" s="63">
        <f>G45</f>
        <v>22001340.420866624</v>
      </c>
      <c r="K344" s="675" t="s">
        <v>76</v>
      </c>
    </row>
    <row r="345" spans="1:11" s="671" customFormat="1" ht="13">
      <c r="A345" s="109">
        <f>A344+1</f>
        <v>264</v>
      </c>
      <c r="B345" s="631" t="s">
        <v>181</v>
      </c>
      <c r="C345" s="632">
        <v>2020</v>
      </c>
      <c r="D345" s="1072">
        <v>129945.71200000001</v>
      </c>
      <c r="E345" s="63">
        <f>D345*'16-PlantAdditions'!$E$103</f>
        <v>9745.9284000000007</v>
      </c>
      <c r="F345" s="63">
        <f>E345+D345</f>
        <v>139691.6404</v>
      </c>
      <c r="G345" s="1072">
        <v>0</v>
      </c>
      <c r="H345" s="1072">
        <v>0</v>
      </c>
      <c r="I345" s="63">
        <f>(G345-H345)*'16-PlantAdditions'!$E$103</f>
        <v>0</v>
      </c>
      <c r="J345" s="63">
        <f>J344+F345-G345-I345</f>
        <v>22141032.061266623</v>
      </c>
      <c r="K345" s="63">
        <f>J345-$J$344</f>
        <v>139691.64039999992</v>
      </c>
    </row>
    <row r="346" spans="1:11" s="671" customFormat="1" ht="13">
      <c r="A346" s="109">
        <f t="shared" ref="A346:A369" si="60">A345+1</f>
        <v>265</v>
      </c>
      <c r="B346" s="634" t="s">
        <v>182</v>
      </c>
      <c r="C346" s="632">
        <v>2020</v>
      </c>
      <c r="D346" s="1072">
        <v>43690.596000000005</v>
      </c>
      <c r="E346" s="63">
        <f>D346*'16-PlantAdditions'!$E$103</f>
        <v>3276.7947000000004</v>
      </c>
      <c r="F346" s="63">
        <f t="shared" ref="F346:F365" si="61">E346+D346</f>
        <v>46967.390700000004</v>
      </c>
      <c r="G346" s="1072">
        <v>0</v>
      </c>
      <c r="H346" s="1072">
        <v>0</v>
      </c>
      <c r="I346" s="63">
        <f>(G346-H346)*'16-PlantAdditions'!$E$103</f>
        <v>0</v>
      </c>
      <c r="J346" s="63">
        <f t="shared" ref="J346:J365" si="62">J345+F346-G346-I346</f>
        <v>22187999.451966625</v>
      </c>
      <c r="K346" s="63">
        <f t="shared" ref="K346:K368" si="63">J346-$J$344</f>
        <v>186659.03110000119</v>
      </c>
    </row>
    <row r="347" spans="1:11" s="671" customFormat="1" ht="13">
      <c r="A347" s="109">
        <f t="shared" si="60"/>
        <v>266</v>
      </c>
      <c r="B347" s="634" t="s">
        <v>195</v>
      </c>
      <c r="C347" s="632">
        <v>2020</v>
      </c>
      <c r="D347" s="1072">
        <v>85275.760000000009</v>
      </c>
      <c r="E347" s="63">
        <f>D347*'16-PlantAdditions'!$E$103</f>
        <v>6395.6820000000007</v>
      </c>
      <c r="F347" s="63">
        <f t="shared" si="61"/>
        <v>91671.44200000001</v>
      </c>
      <c r="G347" s="1072">
        <v>0</v>
      </c>
      <c r="H347" s="1072">
        <v>0</v>
      </c>
      <c r="I347" s="63">
        <f>(G347-H347)*'16-PlantAdditions'!$E$103</f>
        <v>0</v>
      </c>
      <c r="J347" s="63">
        <f t="shared" si="62"/>
        <v>22279670.893966626</v>
      </c>
      <c r="K347" s="63">
        <f t="shared" si="63"/>
        <v>278330.47310000286</v>
      </c>
    </row>
    <row r="348" spans="1:11" s="671" customFormat="1" ht="13">
      <c r="A348" s="109">
        <f t="shared" si="60"/>
        <v>267</v>
      </c>
      <c r="B348" s="631" t="s">
        <v>183</v>
      </c>
      <c r="C348" s="632">
        <v>2020</v>
      </c>
      <c r="D348" s="1072">
        <v>131000</v>
      </c>
      <c r="E348" s="63">
        <f>D348*'16-PlantAdditions'!$E$103</f>
        <v>9825</v>
      </c>
      <c r="F348" s="63">
        <f t="shared" si="61"/>
        <v>140825</v>
      </c>
      <c r="G348" s="1072">
        <v>0</v>
      </c>
      <c r="H348" s="1072">
        <v>0</v>
      </c>
      <c r="I348" s="63">
        <f>(G348-H348)*'16-PlantAdditions'!$E$103</f>
        <v>0</v>
      </c>
      <c r="J348" s="63">
        <f t="shared" si="62"/>
        <v>22420495.893966626</v>
      </c>
      <c r="K348" s="63">
        <f t="shared" si="63"/>
        <v>419155.47310000286</v>
      </c>
    </row>
    <row r="349" spans="1:11" s="671" customFormat="1" ht="13">
      <c r="A349" s="109">
        <f t="shared" si="60"/>
        <v>268</v>
      </c>
      <c r="B349" s="634" t="s">
        <v>184</v>
      </c>
      <c r="C349" s="632">
        <v>2020</v>
      </c>
      <c r="D349" s="1072">
        <v>49654.764000000003</v>
      </c>
      <c r="E349" s="63">
        <f>D349*'16-PlantAdditions'!$E$103</f>
        <v>3724.1073000000001</v>
      </c>
      <c r="F349" s="63">
        <f t="shared" si="61"/>
        <v>53378.871300000006</v>
      </c>
      <c r="G349" s="1072">
        <v>0</v>
      </c>
      <c r="H349" s="1072">
        <v>0</v>
      </c>
      <c r="I349" s="63">
        <f>(G349-H349)*'16-PlantAdditions'!$E$103</f>
        <v>0</v>
      </c>
      <c r="J349" s="63">
        <f t="shared" si="62"/>
        <v>22473874.765266627</v>
      </c>
      <c r="K349" s="63">
        <f t="shared" si="63"/>
        <v>472534.34440000355</v>
      </c>
    </row>
    <row r="350" spans="1:11" s="671" customFormat="1" ht="13">
      <c r="A350" s="109">
        <f t="shared" si="60"/>
        <v>269</v>
      </c>
      <c r="B350" s="634" t="s">
        <v>1464</v>
      </c>
      <c r="C350" s="632">
        <v>2020</v>
      </c>
      <c r="D350" s="1072">
        <v>49654.764000000003</v>
      </c>
      <c r="E350" s="63">
        <f>D350*'16-PlantAdditions'!$E$103</f>
        <v>3724.1073000000001</v>
      </c>
      <c r="F350" s="63">
        <f t="shared" si="61"/>
        <v>53378.871300000006</v>
      </c>
      <c r="G350" s="1072">
        <v>0</v>
      </c>
      <c r="H350" s="1072">
        <v>0</v>
      </c>
      <c r="I350" s="63">
        <f>(G350-H350)*'16-PlantAdditions'!$E$103</f>
        <v>0</v>
      </c>
      <c r="J350" s="63">
        <f t="shared" si="62"/>
        <v>22527253.636566628</v>
      </c>
      <c r="K350" s="63">
        <f t="shared" si="63"/>
        <v>525913.21570000425</v>
      </c>
    </row>
    <row r="351" spans="1:11" s="671" customFormat="1" ht="13">
      <c r="A351" s="109">
        <f t="shared" si="60"/>
        <v>270</v>
      </c>
      <c r="B351" s="631" t="s">
        <v>186</v>
      </c>
      <c r="C351" s="632">
        <v>2020</v>
      </c>
      <c r="D351" s="1072">
        <v>49654.764000000003</v>
      </c>
      <c r="E351" s="63">
        <f>D351*'16-PlantAdditions'!$E$103</f>
        <v>3724.1073000000001</v>
      </c>
      <c r="F351" s="63">
        <f t="shared" si="61"/>
        <v>53378.871300000006</v>
      </c>
      <c r="G351" s="1072">
        <v>0</v>
      </c>
      <c r="H351" s="1072">
        <v>0</v>
      </c>
      <c r="I351" s="63">
        <f>(G351-H351)*'16-PlantAdditions'!$E$103</f>
        <v>0</v>
      </c>
      <c r="J351" s="63">
        <f t="shared" si="62"/>
        <v>22580632.507866628</v>
      </c>
      <c r="K351" s="63">
        <f t="shared" si="63"/>
        <v>579292.08700000495</v>
      </c>
    </row>
    <row r="352" spans="1:11" s="671" customFormat="1" ht="13">
      <c r="A352" s="109">
        <f t="shared" si="60"/>
        <v>271</v>
      </c>
      <c r="B352" s="634" t="s">
        <v>187</v>
      </c>
      <c r="C352" s="632">
        <v>2020</v>
      </c>
      <c r="D352" s="1072">
        <v>33438.536</v>
      </c>
      <c r="E352" s="63">
        <f>D352*'16-PlantAdditions'!$E$103</f>
        <v>2507.8901999999998</v>
      </c>
      <c r="F352" s="63">
        <f t="shared" si="61"/>
        <v>35946.426200000002</v>
      </c>
      <c r="G352" s="1072">
        <v>0</v>
      </c>
      <c r="H352" s="1072">
        <v>0</v>
      </c>
      <c r="I352" s="63">
        <f>(G352-H352)*'16-PlantAdditions'!$E$103</f>
        <v>0</v>
      </c>
      <c r="J352" s="63">
        <f t="shared" si="62"/>
        <v>22616578.934066627</v>
      </c>
      <c r="K352" s="63">
        <f t="shared" si="63"/>
        <v>615238.51320000365</v>
      </c>
    </row>
    <row r="353" spans="1:11" s="671" customFormat="1" ht="13">
      <c r="A353" s="109">
        <f t="shared" si="60"/>
        <v>272</v>
      </c>
      <c r="B353" s="634" t="s">
        <v>188</v>
      </c>
      <c r="C353" s="632">
        <v>2020</v>
      </c>
      <c r="D353" s="1072">
        <v>28694.764000000003</v>
      </c>
      <c r="E353" s="63">
        <f>D353*'16-PlantAdditions'!$E$103</f>
        <v>2152.1073000000001</v>
      </c>
      <c r="F353" s="63">
        <f t="shared" si="61"/>
        <v>30846.871300000003</v>
      </c>
      <c r="G353" s="1072">
        <v>0</v>
      </c>
      <c r="H353" s="1072">
        <v>0</v>
      </c>
      <c r="I353" s="63">
        <f>(G353-H353)*'16-PlantAdditions'!$E$103</f>
        <v>0</v>
      </c>
      <c r="J353" s="63">
        <f t="shared" si="62"/>
        <v>22647425.805366628</v>
      </c>
      <c r="K353" s="63">
        <f t="shared" si="63"/>
        <v>646085.38450000435</v>
      </c>
    </row>
    <row r="354" spans="1:11" s="671" customFormat="1" ht="13">
      <c r="A354" s="109">
        <f t="shared" si="60"/>
        <v>273</v>
      </c>
      <c r="B354" s="631" t="s">
        <v>191</v>
      </c>
      <c r="C354" s="632">
        <v>2020</v>
      </c>
      <c r="D354" s="1072">
        <v>28694.764000000003</v>
      </c>
      <c r="E354" s="63">
        <f>D354*'16-PlantAdditions'!$E$103</f>
        <v>2152.1073000000001</v>
      </c>
      <c r="F354" s="63">
        <f t="shared" si="61"/>
        <v>30846.871300000003</v>
      </c>
      <c r="G354" s="1072">
        <v>0</v>
      </c>
      <c r="H354" s="1072">
        <v>0</v>
      </c>
      <c r="I354" s="63">
        <f>(G354-H354)*'16-PlantAdditions'!$E$103</f>
        <v>0</v>
      </c>
      <c r="J354" s="63">
        <f t="shared" si="62"/>
        <v>22678272.676666629</v>
      </c>
      <c r="K354" s="63">
        <f t="shared" si="63"/>
        <v>676932.25580000505</v>
      </c>
    </row>
    <row r="355" spans="1:11" s="671" customFormat="1" ht="13">
      <c r="A355" s="109">
        <f t="shared" si="60"/>
        <v>274</v>
      </c>
      <c r="B355" s="631" t="s">
        <v>190</v>
      </c>
      <c r="C355" s="632">
        <v>2020</v>
      </c>
      <c r="D355" s="1072">
        <v>23501.4</v>
      </c>
      <c r="E355" s="63">
        <f>D355*'16-PlantAdditions'!$E$103</f>
        <v>1762.605</v>
      </c>
      <c r="F355" s="63">
        <f t="shared" si="61"/>
        <v>25264.005000000001</v>
      </c>
      <c r="G355" s="1072">
        <v>0</v>
      </c>
      <c r="H355" s="1072">
        <v>0</v>
      </c>
      <c r="I355" s="63">
        <f>(G355-H355)*'16-PlantAdditions'!$E$103</f>
        <v>0</v>
      </c>
      <c r="J355" s="63">
        <f t="shared" si="62"/>
        <v>22703536.681666628</v>
      </c>
      <c r="K355" s="63">
        <f t="shared" si="63"/>
        <v>702196.26080000401</v>
      </c>
    </row>
    <row r="356" spans="1:11" s="671" customFormat="1" ht="13">
      <c r="A356" s="109">
        <f t="shared" si="60"/>
        <v>275</v>
      </c>
      <c r="B356" s="631" t="s">
        <v>180</v>
      </c>
      <c r="C356" s="632">
        <v>2020</v>
      </c>
      <c r="D356" s="1072">
        <v>26121.4</v>
      </c>
      <c r="E356" s="63">
        <f>D356*'16-PlantAdditions'!$E$103</f>
        <v>1959.105</v>
      </c>
      <c r="F356" s="63">
        <f t="shared" si="61"/>
        <v>28080.505000000001</v>
      </c>
      <c r="G356" s="1072">
        <v>405712.10000000003</v>
      </c>
      <c r="H356" s="1072">
        <v>405712.10000000003</v>
      </c>
      <c r="I356" s="63">
        <f>(G356-H356)*'16-PlantAdditions'!$E$103</f>
        <v>0</v>
      </c>
      <c r="J356" s="63">
        <f t="shared" si="62"/>
        <v>22325905.086666625</v>
      </c>
      <c r="K356" s="63">
        <f t="shared" si="63"/>
        <v>324564.66580000147</v>
      </c>
    </row>
    <row r="357" spans="1:11" s="671" customFormat="1" ht="13">
      <c r="A357" s="109">
        <f t="shared" si="60"/>
        <v>276</v>
      </c>
      <c r="B357" s="631" t="s">
        <v>181</v>
      </c>
      <c r="C357" s="632">
        <v>2021</v>
      </c>
      <c r="D357" s="1072">
        <v>78600.000000000015</v>
      </c>
      <c r="E357" s="63">
        <f>D357*'16-PlantAdditions'!$E$103</f>
        <v>5895.0000000000009</v>
      </c>
      <c r="F357" s="63">
        <f t="shared" si="61"/>
        <v>84495.000000000015</v>
      </c>
      <c r="G357" s="1072">
        <v>0</v>
      </c>
      <c r="H357" s="1072">
        <v>0</v>
      </c>
      <c r="I357" s="63">
        <f>(G357-H357)*'16-PlantAdditions'!$E$103</f>
        <v>0</v>
      </c>
      <c r="J357" s="63">
        <f t="shared" si="62"/>
        <v>22410400.086666625</v>
      </c>
      <c r="K357" s="63">
        <f t="shared" si="63"/>
        <v>409059.66580000147</v>
      </c>
    </row>
    <row r="358" spans="1:11" s="671" customFormat="1" ht="13">
      <c r="A358" s="109">
        <f t="shared" si="60"/>
        <v>277</v>
      </c>
      <c r="B358" s="634" t="s">
        <v>182</v>
      </c>
      <c r="C358" s="632">
        <v>2021</v>
      </c>
      <c r="D358" s="1072">
        <v>78600.000000000015</v>
      </c>
      <c r="E358" s="63">
        <f>D358*'16-PlantAdditions'!$E$103</f>
        <v>5895.0000000000009</v>
      </c>
      <c r="F358" s="63">
        <f t="shared" si="61"/>
        <v>84495.000000000015</v>
      </c>
      <c r="G358" s="1072">
        <v>0</v>
      </c>
      <c r="H358" s="1072">
        <v>0</v>
      </c>
      <c r="I358" s="63">
        <f>(G358-H358)*'16-PlantAdditions'!$E$103</f>
        <v>0</v>
      </c>
      <c r="J358" s="63">
        <f t="shared" si="62"/>
        <v>22494895.086666625</v>
      </c>
      <c r="K358" s="63">
        <f t="shared" si="63"/>
        <v>493554.66580000147</v>
      </c>
    </row>
    <row r="359" spans="1:11" s="671" customFormat="1" ht="13">
      <c r="A359" s="109">
        <f t="shared" si="60"/>
        <v>278</v>
      </c>
      <c r="B359" s="634" t="s">
        <v>195</v>
      </c>
      <c r="C359" s="632">
        <v>2021</v>
      </c>
      <c r="D359" s="1072">
        <v>78600.000000000015</v>
      </c>
      <c r="E359" s="63">
        <f>D359*'16-PlantAdditions'!$E$103</f>
        <v>5895.0000000000009</v>
      </c>
      <c r="F359" s="63">
        <f t="shared" si="61"/>
        <v>84495.000000000015</v>
      </c>
      <c r="G359" s="1072">
        <v>0</v>
      </c>
      <c r="H359" s="1072">
        <v>0</v>
      </c>
      <c r="I359" s="63">
        <f>(G359-H359)*'16-PlantAdditions'!$E$103</f>
        <v>0</v>
      </c>
      <c r="J359" s="63">
        <f t="shared" si="62"/>
        <v>22579390.086666625</v>
      </c>
      <c r="K359" s="63">
        <f t="shared" si="63"/>
        <v>578049.66580000147</v>
      </c>
    </row>
    <row r="360" spans="1:11" s="671" customFormat="1" ht="13">
      <c r="A360" s="109">
        <f t="shared" si="60"/>
        <v>279</v>
      </c>
      <c r="B360" s="631" t="s">
        <v>183</v>
      </c>
      <c r="C360" s="632">
        <v>2021</v>
      </c>
      <c r="D360" s="1072">
        <v>78600.000000000015</v>
      </c>
      <c r="E360" s="63">
        <f>D360*'16-PlantAdditions'!$E$103</f>
        <v>5895.0000000000009</v>
      </c>
      <c r="F360" s="63">
        <f t="shared" si="61"/>
        <v>84495.000000000015</v>
      </c>
      <c r="G360" s="1072">
        <v>0</v>
      </c>
      <c r="H360" s="1072">
        <v>0</v>
      </c>
      <c r="I360" s="63">
        <f>(G360-H360)*'16-PlantAdditions'!$E$103</f>
        <v>0</v>
      </c>
      <c r="J360" s="63">
        <f t="shared" si="62"/>
        <v>22663885.086666625</v>
      </c>
      <c r="K360" s="63">
        <f t="shared" si="63"/>
        <v>662544.66580000147</v>
      </c>
    </row>
    <row r="361" spans="1:11" s="671" customFormat="1" ht="13">
      <c r="A361" s="109">
        <f t="shared" si="60"/>
        <v>280</v>
      </c>
      <c r="B361" s="634" t="s">
        <v>184</v>
      </c>
      <c r="C361" s="632">
        <v>2021</v>
      </c>
      <c r="D361" s="1072">
        <v>78600.000000000015</v>
      </c>
      <c r="E361" s="63">
        <f>D361*'16-PlantAdditions'!$E$103</f>
        <v>5895.0000000000009</v>
      </c>
      <c r="F361" s="63">
        <f t="shared" si="61"/>
        <v>84495.000000000015</v>
      </c>
      <c r="G361" s="1072">
        <v>0</v>
      </c>
      <c r="H361" s="1072">
        <v>0</v>
      </c>
      <c r="I361" s="63">
        <f>(G361-H361)*'16-PlantAdditions'!$E$103</f>
        <v>0</v>
      </c>
      <c r="J361" s="63">
        <f t="shared" si="62"/>
        <v>22748380.086666625</v>
      </c>
      <c r="K361" s="63">
        <f t="shared" si="63"/>
        <v>747039.66580000147</v>
      </c>
    </row>
    <row r="362" spans="1:11" s="671" customFormat="1" ht="13">
      <c r="A362" s="109">
        <f t="shared" si="60"/>
        <v>281</v>
      </c>
      <c r="B362" s="634" t="s">
        <v>1464</v>
      </c>
      <c r="C362" s="632">
        <v>2021</v>
      </c>
      <c r="D362" s="1072">
        <v>78600.000000000015</v>
      </c>
      <c r="E362" s="63">
        <f>D362*'16-PlantAdditions'!$E$103</f>
        <v>5895.0000000000009</v>
      </c>
      <c r="F362" s="63">
        <f t="shared" si="61"/>
        <v>84495.000000000015</v>
      </c>
      <c r="G362" s="1072">
        <v>0</v>
      </c>
      <c r="H362" s="1072">
        <v>0</v>
      </c>
      <c r="I362" s="63">
        <f>(G362-H362)*'16-PlantAdditions'!$E$103</f>
        <v>0</v>
      </c>
      <c r="J362" s="63">
        <f t="shared" si="62"/>
        <v>22832875.086666625</v>
      </c>
      <c r="K362" s="63">
        <f t="shared" si="63"/>
        <v>831534.66580000147</v>
      </c>
    </row>
    <row r="363" spans="1:11" s="671" customFormat="1" ht="13">
      <c r="A363" s="109">
        <f t="shared" si="60"/>
        <v>282</v>
      </c>
      <c r="B363" s="631" t="s">
        <v>186</v>
      </c>
      <c r="C363" s="632">
        <v>2021</v>
      </c>
      <c r="D363" s="1072">
        <v>78600.000000000015</v>
      </c>
      <c r="E363" s="63">
        <f>D363*'16-PlantAdditions'!$E$103</f>
        <v>5895.0000000000009</v>
      </c>
      <c r="F363" s="63">
        <f t="shared" si="61"/>
        <v>84495.000000000015</v>
      </c>
      <c r="G363" s="1072">
        <v>0</v>
      </c>
      <c r="H363" s="1072">
        <v>0</v>
      </c>
      <c r="I363" s="63">
        <f>(G363-H363)*'16-PlantAdditions'!$E$103</f>
        <v>0</v>
      </c>
      <c r="J363" s="63">
        <f t="shared" si="62"/>
        <v>22917370.086666625</v>
      </c>
      <c r="K363" s="63">
        <f t="shared" si="63"/>
        <v>916029.66580000147</v>
      </c>
    </row>
    <row r="364" spans="1:11" s="671" customFormat="1" ht="13">
      <c r="A364" s="109">
        <f t="shared" si="60"/>
        <v>283</v>
      </c>
      <c r="B364" s="634" t="s">
        <v>187</v>
      </c>
      <c r="C364" s="632">
        <v>2021</v>
      </c>
      <c r="D364" s="1072">
        <v>78600.000000000015</v>
      </c>
      <c r="E364" s="63">
        <f>D364*'16-PlantAdditions'!$E$103</f>
        <v>5895.0000000000009</v>
      </c>
      <c r="F364" s="63">
        <f t="shared" si="61"/>
        <v>84495.000000000015</v>
      </c>
      <c r="G364" s="1072">
        <v>0</v>
      </c>
      <c r="H364" s="1072">
        <v>0</v>
      </c>
      <c r="I364" s="63">
        <f>(G364-H364)*'16-PlantAdditions'!$E$103</f>
        <v>0</v>
      </c>
      <c r="J364" s="63">
        <f t="shared" si="62"/>
        <v>23001865.086666625</v>
      </c>
      <c r="K364" s="63">
        <f t="shared" si="63"/>
        <v>1000524.6658000015</v>
      </c>
    </row>
    <row r="365" spans="1:11" s="671" customFormat="1" ht="13">
      <c r="A365" s="109">
        <f t="shared" si="60"/>
        <v>284</v>
      </c>
      <c r="B365" s="634" t="s">
        <v>188</v>
      </c>
      <c r="C365" s="632">
        <v>2021</v>
      </c>
      <c r="D365" s="1072">
        <v>78600.000000000015</v>
      </c>
      <c r="E365" s="63">
        <f>D365*'16-PlantAdditions'!$E$103</f>
        <v>5895.0000000000009</v>
      </c>
      <c r="F365" s="63">
        <f t="shared" si="61"/>
        <v>84495.000000000015</v>
      </c>
      <c r="G365" s="1072">
        <v>0</v>
      </c>
      <c r="H365" s="1072">
        <v>0</v>
      </c>
      <c r="I365" s="63">
        <f>(G365-H365)*'16-PlantAdditions'!$E$103</f>
        <v>0</v>
      </c>
      <c r="J365" s="63">
        <f t="shared" si="62"/>
        <v>23086360.086666625</v>
      </c>
      <c r="K365" s="63">
        <f t="shared" si="63"/>
        <v>1085019.6658000015</v>
      </c>
    </row>
    <row r="366" spans="1:11" s="671" customFormat="1" ht="13">
      <c r="A366" s="109">
        <f t="shared" si="60"/>
        <v>285</v>
      </c>
      <c r="B366" s="634" t="s">
        <v>191</v>
      </c>
      <c r="C366" s="632">
        <v>2021</v>
      </c>
      <c r="D366" s="1072">
        <v>78600.000000000015</v>
      </c>
      <c r="E366" s="63">
        <f>D366*'16-PlantAdditions'!$E$103</f>
        <v>5895.0000000000009</v>
      </c>
      <c r="F366" s="63">
        <f>E366+D366</f>
        <v>84495.000000000015</v>
      </c>
      <c r="G366" s="1072">
        <v>0</v>
      </c>
      <c r="H366" s="1072">
        <v>0</v>
      </c>
      <c r="I366" s="63">
        <f>(G366-H366)*'16-PlantAdditions'!$E$103</f>
        <v>0</v>
      </c>
      <c r="J366" s="63">
        <f>J365+F366-G366-I366</f>
        <v>23170855.086666625</v>
      </c>
      <c r="K366" s="63">
        <f t="shared" si="63"/>
        <v>1169514.6658000015</v>
      </c>
    </row>
    <row r="367" spans="1:11" s="671" customFormat="1" ht="13">
      <c r="A367" s="109">
        <f t="shared" si="60"/>
        <v>286</v>
      </c>
      <c r="B367" s="634" t="s">
        <v>190</v>
      </c>
      <c r="C367" s="632">
        <v>2021</v>
      </c>
      <c r="D367" s="1072">
        <v>78600.000000000015</v>
      </c>
      <c r="E367" s="63">
        <f>D367*'16-PlantAdditions'!$E$103</f>
        <v>5895.0000000000009</v>
      </c>
      <c r="F367" s="63">
        <f>E367+D367</f>
        <v>84495.000000000015</v>
      </c>
      <c r="G367" s="1072">
        <v>0</v>
      </c>
      <c r="H367" s="1072">
        <v>0</v>
      </c>
      <c r="I367" s="63">
        <f>(G367-H367)*'16-PlantAdditions'!$E$103</f>
        <v>0</v>
      </c>
      <c r="J367" s="63">
        <f>J366+F367-G367-I367</f>
        <v>23255350.086666625</v>
      </c>
      <c r="K367" s="63">
        <f t="shared" si="63"/>
        <v>1254009.6658000015</v>
      </c>
    </row>
    <row r="368" spans="1:11" s="671" customFormat="1" ht="13">
      <c r="A368" s="109">
        <f t="shared" si="60"/>
        <v>287</v>
      </c>
      <c r="B368" s="634" t="s">
        <v>180</v>
      </c>
      <c r="C368" s="632">
        <v>2021</v>
      </c>
      <c r="D368" s="1072">
        <v>78600.000000000015</v>
      </c>
      <c r="E368" s="63">
        <f>D368*'16-PlantAdditions'!$E$103</f>
        <v>5895.0000000000009</v>
      </c>
      <c r="F368" s="63">
        <f>E368+D368</f>
        <v>84495.000000000015</v>
      </c>
      <c r="G368" s="1072">
        <v>0</v>
      </c>
      <c r="H368" s="1072">
        <v>0</v>
      </c>
      <c r="I368" s="63">
        <f>(G368-H368)*'16-PlantAdditions'!$E$103</f>
        <v>0</v>
      </c>
      <c r="J368" s="63">
        <f>J367+F368-G368-I368</f>
        <v>23339845.086666625</v>
      </c>
      <c r="K368" s="850">
        <f t="shared" si="63"/>
        <v>1338504.6658000015</v>
      </c>
    </row>
    <row r="369" spans="1:11" s="671" customFormat="1" ht="13">
      <c r="A369" s="109">
        <f t="shared" si="60"/>
        <v>288</v>
      </c>
      <c r="B369"/>
      <c r="C369" s="670" t="s">
        <v>1614</v>
      </c>
      <c r="D369"/>
      <c r="E369"/>
      <c r="F369"/>
      <c r="G369"/>
      <c r="H369"/>
      <c r="I369"/>
      <c r="J369"/>
      <c r="K369" s="73">
        <f>AVERAGE(K356:K368)</f>
        <v>831534.66580000147</v>
      </c>
    </row>
    <row r="370" spans="1:11" s="671" customFormat="1" ht="13">
      <c r="A370" s="109"/>
      <c r="B370"/>
      <c r="C370" s="670"/>
      <c r="D370"/>
      <c r="E370"/>
      <c r="F370"/>
      <c r="G370"/>
      <c r="H370"/>
      <c r="I370"/>
      <c r="J370"/>
      <c r="K370" s="73"/>
    </row>
    <row r="371" spans="1:11" s="671" customFormat="1" ht="13">
      <c r="B371" s="672" t="s">
        <v>1949</v>
      </c>
      <c r="D371" s="1396" t="s">
        <v>2801</v>
      </c>
      <c r="E371" s="1396"/>
      <c r="F371" s="1395"/>
      <c r="G371" s="1395"/>
    </row>
    <row r="372" spans="1:11" s="671" customFormat="1" ht="13">
      <c r="A372" s="666"/>
      <c r="B372" s="666"/>
      <c r="C372" s="666"/>
      <c r="D372" s="666" t="s">
        <v>359</v>
      </c>
      <c r="E372" s="666" t="s">
        <v>343</v>
      </c>
      <c r="F372" s="666" t="s">
        <v>344</v>
      </c>
      <c r="G372" s="666" t="s">
        <v>345</v>
      </c>
      <c r="H372" s="666" t="s">
        <v>346</v>
      </c>
      <c r="I372" s="666" t="s">
        <v>347</v>
      </c>
      <c r="J372" s="666" t="s">
        <v>348</v>
      </c>
      <c r="K372" s="666" t="s">
        <v>537</v>
      </c>
    </row>
    <row r="373" spans="1:11" s="671" customFormat="1" ht="25.5">
      <c r="D373" s="673"/>
      <c r="E373" s="674" t="s">
        <v>2069</v>
      </c>
      <c r="F373" s="675" t="s">
        <v>1937</v>
      </c>
      <c r="G373" s="485"/>
      <c r="H373" s="673"/>
      <c r="I373" s="674" t="s">
        <v>2070</v>
      </c>
      <c r="J373" s="674" t="s">
        <v>1938</v>
      </c>
      <c r="K373" s="674" t="s">
        <v>1939</v>
      </c>
    </row>
    <row r="374" spans="1:11" s="671" customFormat="1" ht="13">
      <c r="D374" s="673"/>
      <c r="E374" s="674"/>
      <c r="F374" s="675"/>
      <c r="G374" s="4" t="str">
        <f>G51</f>
        <v>Unloaded</v>
      </c>
      <c r="H374" s="673"/>
      <c r="I374" s="674"/>
      <c r="J374" s="674"/>
      <c r="K374" s="674"/>
    </row>
    <row r="375" spans="1:11" s="671" customFormat="1" ht="13">
      <c r="A375" s="668"/>
      <c r="B375" s="668"/>
      <c r="C375" s="668"/>
      <c r="D375" s="668" t="str">
        <f>D$52</f>
        <v>Forecast</v>
      </c>
      <c r="E375" s="668" t="str">
        <f t="shared" ref="E375:J375" si="64">E$52</f>
        <v>Corporate</v>
      </c>
      <c r="F375" s="668" t="str">
        <f t="shared" si="64"/>
        <v xml:space="preserve">Total </v>
      </c>
      <c r="G375" s="4" t="str">
        <f>G52</f>
        <v>Total</v>
      </c>
      <c r="H375" s="668" t="str">
        <f t="shared" si="64"/>
        <v>Prior Period</v>
      </c>
      <c r="I375" s="668" t="str">
        <f t="shared" si="64"/>
        <v>Over Heads</v>
      </c>
      <c r="J375" s="668" t="str">
        <f t="shared" si="64"/>
        <v>Forecast</v>
      </c>
      <c r="K375" s="668" t="str">
        <f>K$52</f>
        <v>Forecast Period</v>
      </c>
    </row>
    <row r="376" spans="1:11" s="671" customFormat="1" ht="13">
      <c r="A376" s="910" t="s">
        <v>330</v>
      </c>
      <c r="B376" s="630" t="s">
        <v>192</v>
      </c>
      <c r="C376" s="630" t="s">
        <v>193</v>
      </c>
      <c r="D376" s="666" t="str">
        <f>D$53</f>
        <v>Expenditures</v>
      </c>
      <c r="E376" s="666" t="str">
        <f t="shared" ref="E376:J376" si="65">E$53</f>
        <v>Overheads</v>
      </c>
      <c r="F376" s="666" t="str">
        <f t="shared" si="65"/>
        <v>CWIP Exp</v>
      </c>
      <c r="G376" s="84" t="str">
        <f>G53</f>
        <v>Plant Adds</v>
      </c>
      <c r="H376" s="666" t="str">
        <f t="shared" si="65"/>
        <v>CWIP Closed</v>
      </c>
      <c r="I376" s="666" t="str">
        <f t="shared" si="65"/>
        <v>Closed to PIS</v>
      </c>
      <c r="J376" s="666" t="str">
        <f t="shared" si="65"/>
        <v>Period CWIP</v>
      </c>
      <c r="K376" s="666" t="str">
        <f>K$53</f>
        <v>Incremental CWIP</v>
      </c>
    </row>
    <row r="377" spans="1:11" s="671" customFormat="1" ht="13">
      <c r="A377" s="109">
        <f>A369+1</f>
        <v>289</v>
      </c>
      <c r="B377" s="631" t="s">
        <v>180</v>
      </c>
      <c r="C377" s="632">
        <v>2019</v>
      </c>
      <c r="D377" s="675" t="s">
        <v>76</v>
      </c>
      <c r="E377" s="675" t="s">
        <v>76</v>
      </c>
      <c r="F377" s="675" t="s">
        <v>76</v>
      </c>
      <c r="G377" s="675" t="s">
        <v>76</v>
      </c>
      <c r="H377" s="675" t="s">
        <v>76</v>
      </c>
      <c r="I377" s="675" t="s">
        <v>76</v>
      </c>
      <c r="J377" s="63">
        <v>0</v>
      </c>
      <c r="K377" s="675" t="s">
        <v>76</v>
      </c>
    </row>
    <row r="378" spans="1:11" s="671" customFormat="1" ht="13">
      <c r="A378" s="109">
        <f>A377+1</f>
        <v>290</v>
      </c>
      <c r="B378" s="631" t="s">
        <v>181</v>
      </c>
      <c r="C378" s="632">
        <v>2020</v>
      </c>
      <c r="D378" s="105">
        <v>1661503</v>
      </c>
      <c r="E378" s="63">
        <f>D378*'16-PlantAdditions'!$E$103</f>
        <v>124612.72499999999</v>
      </c>
      <c r="F378" s="63">
        <f>E378+D378</f>
        <v>1786115.7250000001</v>
      </c>
      <c r="G378" s="1072">
        <v>0</v>
      </c>
      <c r="H378" s="1072">
        <v>0</v>
      </c>
      <c r="I378" s="63">
        <f>(G378-H378)*'16-PlantAdditions'!$E$103</f>
        <v>0</v>
      </c>
      <c r="J378" s="63">
        <f>J377+F378-G378-I378</f>
        <v>1786115.7250000001</v>
      </c>
      <c r="K378" s="63">
        <f>J378-$J$377</f>
        <v>1786115.7250000001</v>
      </c>
    </row>
    <row r="379" spans="1:11" s="671" customFormat="1" ht="13">
      <c r="A379" s="109">
        <f t="shared" ref="A379:A402" si="66">A378+1</f>
        <v>291</v>
      </c>
      <c r="B379" s="634" t="s">
        <v>182</v>
      </c>
      <c r="C379" s="632">
        <v>2020</v>
      </c>
      <c r="D379" s="1072">
        <v>1061915</v>
      </c>
      <c r="E379" s="63">
        <f>D379*'16-PlantAdditions'!$E$103</f>
        <v>79643.625</v>
      </c>
      <c r="F379" s="63">
        <f t="shared" ref="F379:F398" si="67">E379+D379</f>
        <v>1141558.625</v>
      </c>
      <c r="G379" s="1072">
        <v>0</v>
      </c>
      <c r="H379" s="1072">
        <v>0</v>
      </c>
      <c r="I379" s="63">
        <f>(G379-H379)*'16-PlantAdditions'!$E$103</f>
        <v>0</v>
      </c>
      <c r="J379" s="63">
        <f t="shared" ref="J379:J398" si="68">J378+F379-G379-I379</f>
        <v>2927674.35</v>
      </c>
      <c r="K379" s="63">
        <f t="shared" ref="K379:K401" si="69">J379-$J$377</f>
        <v>2927674.35</v>
      </c>
    </row>
    <row r="380" spans="1:11" s="671" customFormat="1" ht="13">
      <c r="A380" s="109">
        <f t="shared" si="66"/>
        <v>292</v>
      </c>
      <c r="B380" s="634" t="s">
        <v>195</v>
      </c>
      <c r="C380" s="632">
        <v>2020</v>
      </c>
      <c r="D380" s="1072">
        <v>670728</v>
      </c>
      <c r="E380" s="63">
        <f>D380*'16-PlantAdditions'!$E$103</f>
        <v>50304.6</v>
      </c>
      <c r="F380" s="63">
        <f t="shared" si="67"/>
        <v>721032.6</v>
      </c>
      <c r="G380" s="1072">
        <v>0</v>
      </c>
      <c r="H380" s="1072">
        <v>0</v>
      </c>
      <c r="I380" s="63">
        <f>(G380-H380)*'16-PlantAdditions'!$E$103</f>
        <v>0</v>
      </c>
      <c r="J380" s="63">
        <f t="shared" si="68"/>
        <v>3648706.95</v>
      </c>
      <c r="K380" s="63">
        <f t="shared" si="69"/>
        <v>3648706.95</v>
      </c>
    </row>
    <row r="381" spans="1:11" s="671" customFormat="1" ht="13">
      <c r="A381" s="109">
        <f t="shared" si="66"/>
        <v>293</v>
      </c>
      <c r="B381" s="631" t="s">
        <v>183</v>
      </c>
      <c r="C381" s="632">
        <v>2020</v>
      </c>
      <c r="D381" s="1072">
        <v>2266628</v>
      </c>
      <c r="E381" s="63">
        <f>D381*'16-PlantAdditions'!$E$103</f>
        <v>169997.1</v>
      </c>
      <c r="F381" s="63">
        <f t="shared" si="67"/>
        <v>2436625.1</v>
      </c>
      <c r="G381" s="1072">
        <v>0</v>
      </c>
      <c r="H381" s="1072">
        <v>0</v>
      </c>
      <c r="I381" s="63">
        <f>(G381-H381)*'16-PlantAdditions'!$E$103</f>
        <v>0</v>
      </c>
      <c r="J381" s="63">
        <f t="shared" si="68"/>
        <v>6085332.0500000007</v>
      </c>
      <c r="K381" s="63">
        <f t="shared" si="69"/>
        <v>6085332.0500000007</v>
      </c>
    </row>
    <row r="382" spans="1:11" s="671" customFormat="1" ht="13">
      <c r="A382" s="109">
        <f t="shared" si="66"/>
        <v>294</v>
      </c>
      <c r="B382" s="634" t="s">
        <v>184</v>
      </c>
      <c r="C382" s="632">
        <v>2020</v>
      </c>
      <c r="D382" s="1072">
        <v>2758756.9999999995</v>
      </c>
      <c r="E382" s="63">
        <f>D382*'16-PlantAdditions'!$E$103</f>
        <v>206906.77499999997</v>
      </c>
      <c r="F382" s="63">
        <f t="shared" si="67"/>
        <v>2965663.7749999994</v>
      </c>
      <c r="G382" s="1072">
        <v>0</v>
      </c>
      <c r="H382" s="1072">
        <v>0</v>
      </c>
      <c r="I382" s="63">
        <f>(G382-H382)*'16-PlantAdditions'!$E$103</f>
        <v>0</v>
      </c>
      <c r="J382" s="63">
        <f t="shared" si="68"/>
        <v>9050995.8249999993</v>
      </c>
      <c r="K382" s="63">
        <f t="shared" si="69"/>
        <v>9050995.8249999993</v>
      </c>
    </row>
    <row r="383" spans="1:11" s="671" customFormat="1" ht="13">
      <c r="A383" s="109">
        <f t="shared" si="66"/>
        <v>295</v>
      </c>
      <c r="B383" s="634" t="s">
        <v>1464</v>
      </c>
      <c r="C383" s="632">
        <v>2020</v>
      </c>
      <c r="D383" s="1072">
        <v>2092027</v>
      </c>
      <c r="E383" s="63">
        <f>D383*'16-PlantAdditions'!$E$103</f>
        <v>156902.02499999999</v>
      </c>
      <c r="F383" s="63">
        <f t="shared" si="67"/>
        <v>2248929.0249999999</v>
      </c>
      <c r="G383" s="1072">
        <v>0</v>
      </c>
      <c r="H383" s="1072">
        <v>0</v>
      </c>
      <c r="I383" s="63">
        <f>(G383-H383)*'16-PlantAdditions'!$E$103</f>
        <v>0</v>
      </c>
      <c r="J383" s="63">
        <f t="shared" si="68"/>
        <v>11299924.85</v>
      </c>
      <c r="K383" s="63">
        <f t="shared" si="69"/>
        <v>11299924.85</v>
      </c>
    </row>
    <row r="384" spans="1:11" s="671" customFormat="1" ht="13">
      <c r="A384" s="109">
        <f t="shared" si="66"/>
        <v>296</v>
      </c>
      <c r="B384" s="631" t="s">
        <v>186</v>
      </c>
      <c r="C384" s="632">
        <v>2020</v>
      </c>
      <c r="D384" s="1072">
        <v>4568940.0000000009</v>
      </c>
      <c r="E384" s="63">
        <f>D384*'16-PlantAdditions'!$E$103</f>
        <v>342670.50000000006</v>
      </c>
      <c r="F384" s="63">
        <f t="shared" si="67"/>
        <v>4911610.5000000009</v>
      </c>
      <c r="G384" s="1072">
        <v>0</v>
      </c>
      <c r="H384" s="1072">
        <v>0</v>
      </c>
      <c r="I384" s="63">
        <f>(G384-H384)*'16-PlantAdditions'!$E$103</f>
        <v>0</v>
      </c>
      <c r="J384" s="63">
        <f t="shared" si="68"/>
        <v>16211535.350000001</v>
      </c>
      <c r="K384" s="63">
        <f t="shared" si="69"/>
        <v>16211535.350000001</v>
      </c>
    </row>
    <row r="385" spans="1:11" s="671" customFormat="1" ht="13">
      <c r="A385" s="109">
        <f t="shared" si="66"/>
        <v>297</v>
      </c>
      <c r="B385" s="634" t="s">
        <v>187</v>
      </c>
      <c r="C385" s="632">
        <v>2020</v>
      </c>
      <c r="D385" s="1072">
        <v>6102128.0000000009</v>
      </c>
      <c r="E385" s="63">
        <f>D385*'16-PlantAdditions'!$E$103</f>
        <v>457659.60000000003</v>
      </c>
      <c r="F385" s="63">
        <f t="shared" si="67"/>
        <v>6559787.6000000006</v>
      </c>
      <c r="G385" s="1072">
        <v>0</v>
      </c>
      <c r="H385" s="1072">
        <v>0</v>
      </c>
      <c r="I385" s="63">
        <f>(G385-H385)*'16-PlantAdditions'!$E$103</f>
        <v>0</v>
      </c>
      <c r="J385" s="63">
        <f t="shared" si="68"/>
        <v>22771322.950000003</v>
      </c>
      <c r="K385" s="63">
        <f t="shared" si="69"/>
        <v>22771322.950000003</v>
      </c>
    </row>
    <row r="386" spans="1:11" s="671" customFormat="1" ht="13">
      <c r="A386" s="109">
        <f t="shared" si="66"/>
        <v>298</v>
      </c>
      <c r="B386" s="634" t="s">
        <v>188</v>
      </c>
      <c r="C386" s="632">
        <v>2020</v>
      </c>
      <c r="D386" s="1072">
        <v>1871455</v>
      </c>
      <c r="E386" s="63">
        <f>D386*'16-PlantAdditions'!$E$103</f>
        <v>140359.125</v>
      </c>
      <c r="F386" s="63">
        <f t="shared" si="67"/>
        <v>2011814.125</v>
      </c>
      <c r="G386" s="1072">
        <v>0</v>
      </c>
      <c r="H386" s="1072">
        <v>0</v>
      </c>
      <c r="I386" s="63">
        <f>(G386-H386)*'16-PlantAdditions'!$E$103</f>
        <v>0</v>
      </c>
      <c r="J386" s="63">
        <f t="shared" si="68"/>
        <v>24783137.075000003</v>
      </c>
      <c r="K386" s="63">
        <f t="shared" si="69"/>
        <v>24783137.075000003</v>
      </c>
    </row>
    <row r="387" spans="1:11" s="671" customFormat="1" ht="13">
      <c r="A387" s="109">
        <f t="shared" si="66"/>
        <v>299</v>
      </c>
      <c r="B387" s="631" t="s">
        <v>191</v>
      </c>
      <c r="C387" s="632">
        <v>2020</v>
      </c>
      <c r="D387" s="1072">
        <v>5341555.0000000009</v>
      </c>
      <c r="E387" s="63">
        <f>D387*'16-PlantAdditions'!$E$103</f>
        <v>400616.62500000006</v>
      </c>
      <c r="F387" s="63">
        <f t="shared" si="67"/>
        <v>5742171.6250000009</v>
      </c>
      <c r="G387" s="1072">
        <v>20943698.879999995</v>
      </c>
      <c r="H387" s="1072">
        <v>17136385.879999999</v>
      </c>
      <c r="I387" s="63">
        <f>(G387-H387)*'16-PlantAdditions'!$E$103</f>
        <v>285548.47499999969</v>
      </c>
      <c r="J387" s="63">
        <f t="shared" si="68"/>
        <v>9296061.3450000081</v>
      </c>
      <c r="K387" s="63">
        <f t="shared" si="69"/>
        <v>9296061.3450000081</v>
      </c>
    </row>
    <row r="388" spans="1:11" s="671" customFormat="1" ht="13">
      <c r="A388" s="109">
        <f t="shared" si="66"/>
        <v>300</v>
      </c>
      <c r="B388" s="631" t="s">
        <v>190</v>
      </c>
      <c r="C388" s="632">
        <v>2020</v>
      </c>
      <c r="D388" s="1072">
        <v>2638971.9999999995</v>
      </c>
      <c r="E388" s="63">
        <f>D388*'16-PlantAdditions'!$E$103</f>
        <v>197922.89999999997</v>
      </c>
      <c r="F388" s="63">
        <f t="shared" si="67"/>
        <v>2836894.8999999994</v>
      </c>
      <c r="G388" s="1072">
        <v>268000</v>
      </c>
      <c r="H388" s="1072">
        <v>0</v>
      </c>
      <c r="I388" s="63">
        <f>(G388-H388)*'16-PlantAdditions'!$E$103</f>
        <v>20100</v>
      </c>
      <c r="J388" s="63">
        <f t="shared" si="68"/>
        <v>11844856.245000008</v>
      </c>
      <c r="K388" s="63">
        <f t="shared" si="69"/>
        <v>11844856.245000008</v>
      </c>
    </row>
    <row r="389" spans="1:11" s="671" customFormat="1" ht="13">
      <c r="A389" s="109">
        <f t="shared" si="66"/>
        <v>301</v>
      </c>
      <c r="B389" s="631" t="s">
        <v>180</v>
      </c>
      <c r="C389" s="632">
        <v>2020</v>
      </c>
      <c r="D389" s="1072">
        <v>3979392</v>
      </c>
      <c r="E389" s="63">
        <f>D389*'16-PlantAdditions'!$E$103</f>
        <v>298454.39999999997</v>
      </c>
      <c r="F389" s="63">
        <f t="shared" si="67"/>
        <v>4277846.4000000004</v>
      </c>
      <c r="G389" s="1072">
        <v>303687</v>
      </c>
      <c r="H389" s="1072">
        <v>0</v>
      </c>
      <c r="I389" s="63">
        <f>(G389-H389)*'16-PlantAdditions'!$E$103</f>
        <v>22776.524999999998</v>
      </c>
      <c r="J389" s="63">
        <f t="shared" si="68"/>
        <v>15796239.120000008</v>
      </c>
      <c r="K389" s="63">
        <f t="shared" si="69"/>
        <v>15796239.120000008</v>
      </c>
    </row>
    <row r="390" spans="1:11" s="671" customFormat="1" ht="13">
      <c r="A390" s="109">
        <f t="shared" si="66"/>
        <v>302</v>
      </c>
      <c r="B390" s="631" t="s">
        <v>181</v>
      </c>
      <c r="C390" s="632">
        <v>2021</v>
      </c>
      <c r="D390" s="1072">
        <v>2465000</v>
      </c>
      <c r="E390" s="63">
        <f>D390*'16-PlantAdditions'!$E$103</f>
        <v>184875</v>
      </c>
      <c r="F390" s="63">
        <f t="shared" si="67"/>
        <v>2649875</v>
      </c>
      <c r="G390" s="1072">
        <v>635000</v>
      </c>
      <c r="H390" s="1072">
        <v>0</v>
      </c>
      <c r="I390" s="63">
        <f>(G390-H390)*'16-PlantAdditions'!$E$103</f>
        <v>47625</v>
      </c>
      <c r="J390" s="63">
        <f t="shared" si="68"/>
        <v>17763489.120000008</v>
      </c>
      <c r="K390" s="63">
        <f t="shared" si="69"/>
        <v>17763489.120000008</v>
      </c>
    </row>
    <row r="391" spans="1:11" s="671" customFormat="1" ht="13">
      <c r="A391" s="109">
        <f t="shared" si="66"/>
        <v>303</v>
      </c>
      <c r="B391" s="634" t="s">
        <v>182</v>
      </c>
      <c r="C391" s="632">
        <v>2021</v>
      </c>
      <c r="D391" s="1072">
        <v>2980000</v>
      </c>
      <c r="E391" s="63">
        <f>D391*'16-PlantAdditions'!$E$103</f>
        <v>223500</v>
      </c>
      <c r="F391" s="63">
        <f t="shared" si="67"/>
        <v>3203500</v>
      </c>
      <c r="G391" s="1072">
        <v>151000</v>
      </c>
      <c r="H391" s="1072">
        <v>0</v>
      </c>
      <c r="I391" s="63">
        <f>(G391-H391)*'16-PlantAdditions'!$E$103</f>
        <v>11325</v>
      </c>
      <c r="J391" s="63">
        <f t="shared" si="68"/>
        <v>20804664.120000008</v>
      </c>
      <c r="K391" s="63">
        <f t="shared" si="69"/>
        <v>20804664.120000008</v>
      </c>
    </row>
    <row r="392" spans="1:11" s="671" customFormat="1" ht="13">
      <c r="A392" s="109">
        <f t="shared" si="66"/>
        <v>304</v>
      </c>
      <c r="B392" s="634" t="s">
        <v>195</v>
      </c>
      <c r="C392" s="632">
        <v>2021</v>
      </c>
      <c r="D392" s="1072">
        <v>7259333</v>
      </c>
      <c r="E392" s="63">
        <f>D392*'16-PlantAdditions'!$E$103</f>
        <v>544449.97499999998</v>
      </c>
      <c r="F392" s="63">
        <f t="shared" si="67"/>
        <v>7803782.9749999996</v>
      </c>
      <c r="G392" s="1072">
        <v>1263441</v>
      </c>
      <c r="H392" s="1072">
        <v>0</v>
      </c>
      <c r="I392" s="63">
        <f>(G392-H392)*'16-PlantAdditions'!$E$103</f>
        <v>94758.074999999997</v>
      </c>
      <c r="J392" s="63">
        <f t="shared" si="68"/>
        <v>27250248.020000007</v>
      </c>
      <c r="K392" s="63">
        <f t="shared" si="69"/>
        <v>27250248.020000007</v>
      </c>
    </row>
    <row r="393" spans="1:11" s="671" customFormat="1" ht="13">
      <c r="A393" s="109">
        <f t="shared" si="66"/>
        <v>305</v>
      </c>
      <c r="B393" s="631" t="s">
        <v>183</v>
      </c>
      <c r="C393" s="632">
        <v>2021</v>
      </c>
      <c r="D393" s="1072">
        <v>4159830</v>
      </c>
      <c r="E393" s="63">
        <f>D393*'16-PlantAdditions'!$E$103</f>
        <v>311987.25</v>
      </c>
      <c r="F393" s="63">
        <f t="shared" si="67"/>
        <v>4471817.25</v>
      </c>
      <c r="G393" s="1072">
        <v>27429645.48</v>
      </c>
      <c r="H393" s="1072">
        <v>13129540.48</v>
      </c>
      <c r="I393" s="63">
        <f>(G393-H393)*'16-PlantAdditions'!$E$103</f>
        <v>1072507.875</v>
      </c>
      <c r="J393" s="63">
        <f t="shared" si="68"/>
        <v>3219911.9150000066</v>
      </c>
      <c r="K393" s="63">
        <f t="shared" si="69"/>
        <v>3219911.9150000066</v>
      </c>
    </row>
    <row r="394" spans="1:11" s="671" customFormat="1" ht="13">
      <c r="A394" s="109">
        <f t="shared" si="66"/>
        <v>306</v>
      </c>
      <c r="B394" s="634" t="s">
        <v>184</v>
      </c>
      <c r="C394" s="632">
        <v>2021</v>
      </c>
      <c r="D394" s="1072">
        <v>6190162</v>
      </c>
      <c r="E394" s="63">
        <f>D394*'16-PlantAdditions'!$E$103</f>
        <v>464262.14999999997</v>
      </c>
      <c r="F394" s="63">
        <f t="shared" si="67"/>
        <v>6654424.1500000004</v>
      </c>
      <c r="G394" s="1072">
        <v>31499388.91</v>
      </c>
      <c r="H394" s="1072">
        <v>22398460.91</v>
      </c>
      <c r="I394" s="63">
        <f>(G394-H394)*'16-PlantAdditions'!$E$103</f>
        <v>682569.6</v>
      </c>
      <c r="J394" s="63">
        <f t="shared" si="68"/>
        <v>-22307622.444999993</v>
      </c>
      <c r="K394" s="63">
        <f t="shared" si="69"/>
        <v>-22307622.444999993</v>
      </c>
    </row>
    <row r="395" spans="1:11" s="671" customFormat="1" ht="13">
      <c r="A395" s="109">
        <f t="shared" si="66"/>
        <v>307</v>
      </c>
      <c r="B395" s="634" t="s">
        <v>1464</v>
      </c>
      <c r="C395" s="632">
        <v>2021</v>
      </c>
      <c r="D395" s="1072">
        <v>3784828.9999999995</v>
      </c>
      <c r="E395" s="63">
        <f>D395*'16-PlantAdditions'!$E$103</f>
        <v>283862.17499999993</v>
      </c>
      <c r="F395" s="63">
        <f t="shared" si="67"/>
        <v>4068691.1749999993</v>
      </c>
      <c r="G395" s="1072">
        <v>2382850.0000000005</v>
      </c>
      <c r="H395" s="1072">
        <v>0</v>
      </c>
      <c r="I395" s="63">
        <f>(G395-H395)*'16-PlantAdditions'!$E$103</f>
        <v>178713.75000000003</v>
      </c>
      <c r="J395" s="63">
        <f t="shared" si="68"/>
        <v>-20800495.019999992</v>
      </c>
      <c r="K395" s="63">
        <f t="shared" si="69"/>
        <v>-20800495.019999992</v>
      </c>
    </row>
    <row r="396" spans="1:11" s="671" customFormat="1" ht="13">
      <c r="A396" s="109">
        <f t="shared" si="66"/>
        <v>308</v>
      </c>
      <c r="B396" s="631" t="s">
        <v>186</v>
      </c>
      <c r="C396" s="632">
        <v>2021</v>
      </c>
      <c r="D396" s="1072">
        <v>3229375.9999999995</v>
      </c>
      <c r="E396" s="63">
        <f>D396*'16-PlantAdditions'!$E$103</f>
        <v>242203.19999999995</v>
      </c>
      <c r="F396" s="63">
        <f t="shared" si="67"/>
        <v>3471579.1999999993</v>
      </c>
      <c r="G396" s="1072">
        <v>1609541.0000000002</v>
      </c>
      <c r="H396" s="1072">
        <v>0</v>
      </c>
      <c r="I396" s="63">
        <f>(G396-H396)*'16-PlantAdditions'!$E$103</f>
        <v>120715.57500000001</v>
      </c>
      <c r="J396" s="63">
        <f t="shared" si="68"/>
        <v>-19059172.394999992</v>
      </c>
      <c r="K396" s="63">
        <f t="shared" si="69"/>
        <v>-19059172.394999992</v>
      </c>
    </row>
    <row r="397" spans="1:11" s="671" customFormat="1" ht="13">
      <c r="A397" s="109">
        <f t="shared" si="66"/>
        <v>309</v>
      </c>
      <c r="B397" s="634" t="s">
        <v>187</v>
      </c>
      <c r="C397" s="632">
        <v>2021</v>
      </c>
      <c r="D397" s="1072">
        <v>3216375.9999999995</v>
      </c>
      <c r="E397" s="63">
        <f>D397*'16-PlantAdditions'!$E$103</f>
        <v>241228.19999999995</v>
      </c>
      <c r="F397" s="63">
        <f t="shared" si="67"/>
        <v>3457604.1999999993</v>
      </c>
      <c r="G397" s="1072">
        <v>1876541.0000000002</v>
      </c>
      <c r="H397" s="1072">
        <v>0</v>
      </c>
      <c r="I397" s="63">
        <f>(G397-H397)*'16-PlantAdditions'!$E$103</f>
        <v>140740.57500000001</v>
      </c>
      <c r="J397" s="63">
        <f t="shared" si="68"/>
        <v>-17618849.769999992</v>
      </c>
      <c r="K397" s="63">
        <f t="shared" si="69"/>
        <v>-17618849.769999992</v>
      </c>
    </row>
    <row r="398" spans="1:11" s="671" customFormat="1" ht="13">
      <c r="A398" s="109">
        <f t="shared" si="66"/>
        <v>310</v>
      </c>
      <c r="B398" s="634" t="s">
        <v>188</v>
      </c>
      <c r="C398" s="632">
        <v>2021</v>
      </c>
      <c r="D398" s="1072">
        <v>3459830</v>
      </c>
      <c r="E398" s="63">
        <f>D398*'16-PlantAdditions'!$E$103</f>
        <v>259487.25</v>
      </c>
      <c r="F398" s="63">
        <f t="shared" si="67"/>
        <v>3719317.25</v>
      </c>
      <c r="G398" s="1072">
        <v>1993850.0000000002</v>
      </c>
      <c r="H398" s="1072">
        <v>0</v>
      </c>
      <c r="I398" s="63">
        <f>(G398-H398)*'16-PlantAdditions'!$E$103</f>
        <v>149538.75</v>
      </c>
      <c r="J398" s="63">
        <f t="shared" si="68"/>
        <v>-16042921.269999992</v>
      </c>
      <c r="K398" s="63">
        <f t="shared" si="69"/>
        <v>-16042921.269999992</v>
      </c>
    </row>
    <row r="399" spans="1:11" s="671" customFormat="1" ht="13">
      <c r="A399" s="109">
        <f t="shared" si="66"/>
        <v>311</v>
      </c>
      <c r="B399" s="634" t="s">
        <v>191</v>
      </c>
      <c r="C399" s="632">
        <v>2021</v>
      </c>
      <c r="D399" s="1072">
        <v>2673375.9999999995</v>
      </c>
      <c r="E399" s="63">
        <f>D399*'16-PlantAdditions'!$E$103</f>
        <v>200503.19999999995</v>
      </c>
      <c r="F399" s="63">
        <f>E399+D399</f>
        <v>2873879.1999999993</v>
      </c>
      <c r="G399" s="1072">
        <v>1331541</v>
      </c>
      <c r="H399" s="1072">
        <v>0</v>
      </c>
      <c r="I399" s="63">
        <f>(G399-H399)*'16-PlantAdditions'!$E$103</f>
        <v>99865.574999999997</v>
      </c>
      <c r="J399" s="63">
        <f>J398+F399-G399-I399</f>
        <v>-14600448.644999992</v>
      </c>
      <c r="K399" s="63">
        <f t="shared" si="69"/>
        <v>-14600448.644999992</v>
      </c>
    </row>
    <row r="400" spans="1:11" s="671" customFormat="1" ht="13">
      <c r="A400" s="109">
        <f t="shared" si="66"/>
        <v>312</v>
      </c>
      <c r="B400" s="634" t="s">
        <v>190</v>
      </c>
      <c r="C400" s="632">
        <v>2021</v>
      </c>
      <c r="D400" s="1072">
        <v>2616375.9999999995</v>
      </c>
      <c r="E400" s="63">
        <f>D400*'16-PlantAdditions'!$E$103</f>
        <v>196228.19999999995</v>
      </c>
      <c r="F400" s="63">
        <f>E400+D400</f>
        <v>2812604.1999999993</v>
      </c>
      <c r="G400" s="1072">
        <v>1309541</v>
      </c>
      <c r="H400" s="1072">
        <v>0</v>
      </c>
      <c r="I400" s="63">
        <f>(G400-H400)*'16-PlantAdditions'!$E$103</f>
        <v>98215.574999999997</v>
      </c>
      <c r="J400" s="63">
        <f>J399+F400-G400-I400</f>
        <v>-13195601.019999992</v>
      </c>
      <c r="K400" s="63">
        <f t="shared" si="69"/>
        <v>-13195601.019999992</v>
      </c>
    </row>
    <row r="401" spans="1:11" s="671" customFormat="1" ht="13">
      <c r="A401" s="109">
        <f t="shared" si="66"/>
        <v>313</v>
      </c>
      <c r="B401" s="634" t="s">
        <v>180</v>
      </c>
      <c r="C401" s="632">
        <v>2021</v>
      </c>
      <c r="D401" s="1072">
        <v>3554511.9999999995</v>
      </c>
      <c r="E401" s="63">
        <f>D401*'16-PlantAdditions'!$E$103</f>
        <v>266588.39999999997</v>
      </c>
      <c r="F401" s="63">
        <f>E401+D401</f>
        <v>3821100.3999999994</v>
      </c>
      <c r="G401" s="1072">
        <v>59830362.590000004</v>
      </c>
      <c r="H401" s="1072">
        <v>34609700.589999996</v>
      </c>
      <c r="I401" s="63">
        <f>(G401-H401)*'16-PlantAdditions'!$E$103</f>
        <v>1891549.6500000004</v>
      </c>
      <c r="J401" s="63">
        <f>J400+F401-G401-I401</f>
        <v>-71096412.859999999</v>
      </c>
      <c r="K401" s="110">
        <f t="shared" si="69"/>
        <v>-71096412.859999999</v>
      </c>
    </row>
    <row r="402" spans="1:11" s="671" customFormat="1" ht="13">
      <c r="A402" s="109">
        <f t="shared" si="66"/>
        <v>314</v>
      </c>
      <c r="B402"/>
      <c r="C402" s="670" t="s">
        <v>1614</v>
      </c>
      <c r="H402" s="675"/>
      <c r="I402" s="675"/>
      <c r="K402" s="73">
        <f>AVERAGE(K389:K401)</f>
        <v>-8452843.9330769163</v>
      </c>
    </row>
    <row r="403" spans="1:11" s="671" customFormat="1" ht="13">
      <c r="A403" s="109"/>
      <c r="B403"/>
      <c r="C403" s="670"/>
      <c r="H403" s="675"/>
      <c r="I403" s="675"/>
      <c r="K403" s="73"/>
    </row>
    <row r="404" spans="1:11" s="671" customFormat="1" ht="13">
      <c r="B404" s="672" t="s">
        <v>2456</v>
      </c>
      <c r="D404" s="1159" t="s">
        <v>2457</v>
      </c>
      <c r="E404" s="1159"/>
      <c r="F404" s="95"/>
      <c r="G404" s="95"/>
    </row>
    <row r="405" spans="1:11" s="671" customFormat="1" ht="13">
      <c r="A405" s="666"/>
      <c r="B405" s="666"/>
      <c r="C405" s="666"/>
      <c r="D405" s="666" t="s">
        <v>359</v>
      </c>
      <c r="E405" s="666" t="s">
        <v>343</v>
      </c>
      <c r="F405" s="666" t="s">
        <v>344</v>
      </c>
      <c r="G405" s="666" t="s">
        <v>345</v>
      </c>
      <c r="H405" s="666" t="s">
        <v>346</v>
      </c>
      <c r="I405" s="666" t="s">
        <v>347</v>
      </c>
      <c r="J405" s="666" t="s">
        <v>348</v>
      </c>
      <c r="K405" s="666" t="s">
        <v>537</v>
      </c>
    </row>
    <row r="406" spans="1:11" s="671" customFormat="1" ht="25.5">
      <c r="D406" s="673"/>
      <c r="E406" s="674" t="s">
        <v>2069</v>
      </c>
      <c r="F406" s="675" t="s">
        <v>1937</v>
      </c>
      <c r="G406" s="485"/>
      <c r="H406" s="673"/>
      <c r="I406" s="674" t="s">
        <v>2070</v>
      </c>
      <c r="J406" s="674" t="s">
        <v>1938</v>
      </c>
      <c r="K406" s="674" t="s">
        <v>1939</v>
      </c>
    </row>
    <row r="407" spans="1:11" s="671" customFormat="1" ht="13">
      <c r="D407" s="673"/>
      <c r="E407" s="674"/>
      <c r="F407" s="675"/>
      <c r="G407" s="4" t="str">
        <f>G85</f>
        <v>Unloaded</v>
      </c>
      <c r="H407" s="673"/>
      <c r="I407" s="674"/>
      <c r="J407" s="674"/>
      <c r="K407" s="674"/>
    </row>
    <row r="408" spans="1:11" s="671" customFormat="1" ht="13">
      <c r="A408" s="668"/>
      <c r="B408" s="668"/>
      <c r="C408" s="668"/>
      <c r="D408" s="668" t="str">
        <f>D$52</f>
        <v>Forecast</v>
      </c>
      <c r="E408" s="668" t="str">
        <f t="shared" ref="E408:J408" si="70">E$52</f>
        <v>Corporate</v>
      </c>
      <c r="F408" s="668" t="str">
        <f t="shared" si="70"/>
        <v xml:space="preserve">Total </v>
      </c>
      <c r="G408" s="4" t="str">
        <f>G86</f>
        <v>Total</v>
      </c>
      <c r="H408" s="668" t="str">
        <f t="shared" si="70"/>
        <v>Prior Period</v>
      </c>
      <c r="I408" s="668" t="str">
        <f t="shared" si="70"/>
        <v>Over Heads</v>
      </c>
      <c r="J408" s="668" t="str">
        <f t="shared" si="70"/>
        <v>Forecast</v>
      </c>
      <c r="K408" s="668" t="str">
        <f>K$52</f>
        <v>Forecast Period</v>
      </c>
    </row>
    <row r="409" spans="1:11" s="671" customFormat="1" ht="13">
      <c r="A409" s="910" t="s">
        <v>330</v>
      </c>
      <c r="B409" s="630" t="s">
        <v>192</v>
      </c>
      <c r="C409" s="630" t="s">
        <v>193</v>
      </c>
      <c r="D409" s="666" t="str">
        <f>D$53</f>
        <v>Expenditures</v>
      </c>
      <c r="E409" s="666" t="str">
        <f t="shared" ref="E409:J409" si="71">E$53</f>
        <v>Overheads</v>
      </c>
      <c r="F409" s="666" t="str">
        <f t="shared" si="71"/>
        <v>CWIP Exp</v>
      </c>
      <c r="G409" s="84" t="str">
        <f>G87</f>
        <v>Plant Adds</v>
      </c>
      <c r="H409" s="666" t="str">
        <f t="shared" si="71"/>
        <v>CWIP Closed</v>
      </c>
      <c r="I409" s="666" t="str">
        <f t="shared" si="71"/>
        <v>Closed to PIS</v>
      </c>
      <c r="J409" s="666" t="str">
        <f t="shared" si="71"/>
        <v>Period CWIP</v>
      </c>
      <c r="K409" s="666" t="str">
        <f>K$53</f>
        <v>Incremental CWIP</v>
      </c>
    </row>
    <row r="410" spans="1:11" s="671" customFormat="1" ht="13">
      <c r="A410" s="109">
        <f>A402+1</f>
        <v>315</v>
      </c>
      <c r="B410" s="631" t="s">
        <v>180</v>
      </c>
      <c r="C410" s="632">
        <v>2019</v>
      </c>
      <c r="D410" s="675" t="s">
        <v>76</v>
      </c>
      <c r="E410" s="675" t="s">
        <v>76</v>
      </c>
      <c r="F410" s="675" t="s">
        <v>76</v>
      </c>
      <c r="G410" s="675" t="s">
        <v>76</v>
      </c>
      <c r="H410" s="675" t="s">
        <v>76</v>
      </c>
      <c r="I410" s="675" t="s">
        <v>76</v>
      </c>
      <c r="J410" s="63">
        <v>0</v>
      </c>
      <c r="K410" s="675" t="s">
        <v>76</v>
      </c>
    </row>
    <row r="411" spans="1:11" s="671" customFormat="1" ht="13">
      <c r="A411" s="109">
        <f>A410+1</f>
        <v>316</v>
      </c>
      <c r="B411" s="631" t="s">
        <v>181</v>
      </c>
      <c r="C411" s="632">
        <v>2020</v>
      </c>
      <c r="D411" s="1072"/>
      <c r="E411" s="63">
        <f>D411*'16-PlantAdditions'!$E$103</f>
        <v>0</v>
      </c>
      <c r="F411" s="63">
        <f>E411+D411</f>
        <v>0</v>
      </c>
      <c r="G411" s="1072"/>
      <c r="H411" s="1072"/>
      <c r="I411" s="63">
        <f>(G411-H411)*'16-PlantAdditions'!$E$103</f>
        <v>0</v>
      </c>
      <c r="J411" s="63">
        <f>J410+F411-G411-I411</f>
        <v>0</v>
      </c>
      <c r="K411" s="63">
        <f>J411-$J$377</f>
        <v>0</v>
      </c>
    </row>
    <row r="412" spans="1:11" s="671" customFormat="1" ht="13">
      <c r="A412" s="109">
        <f t="shared" ref="A412:A435" si="72">A411+1</f>
        <v>317</v>
      </c>
      <c r="B412" s="634" t="s">
        <v>182</v>
      </c>
      <c r="C412" s="632">
        <v>2020</v>
      </c>
      <c r="D412" s="1072"/>
      <c r="E412" s="63">
        <f>D412*'16-PlantAdditions'!$E$103</f>
        <v>0</v>
      </c>
      <c r="F412" s="63">
        <f t="shared" ref="F412:F434" si="73">E412+D412</f>
        <v>0</v>
      </c>
      <c r="G412" s="1072"/>
      <c r="H412" s="1072"/>
      <c r="I412" s="63">
        <f>(G412-H412)*'16-PlantAdditions'!$E$103</f>
        <v>0</v>
      </c>
      <c r="J412" s="63">
        <f t="shared" ref="J412:J434" si="74">J411+F412-G412-I412</f>
        <v>0</v>
      </c>
      <c r="K412" s="63">
        <f t="shared" ref="K412:K434" si="75">J412-$J$377</f>
        <v>0</v>
      </c>
    </row>
    <row r="413" spans="1:11" s="671" customFormat="1" ht="13">
      <c r="A413" s="109">
        <f t="shared" si="72"/>
        <v>318</v>
      </c>
      <c r="B413" s="634" t="s">
        <v>195</v>
      </c>
      <c r="C413" s="632">
        <v>2020</v>
      </c>
      <c r="D413" s="1072"/>
      <c r="E413" s="63">
        <f>D413*'16-PlantAdditions'!$E$103</f>
        <v>0</v>
      </c>
      <c r="F413" s="63">
        <f t="shared" si="73"/>
        <v>0</v>
      </c>
      <c r="G413" s="1072"/>
      <c r="H413" s="1072"/>
      <c r="I413" s="63">
        <f>(G413-H413)*'16-PlantAdditions'!$E$103</f>
        <v>0</v>
      </c>
      <c r="J413" s="63">
        <f t="shared" si="74"/>
        <v>0</v>
      </c>
      <c r="K413" s="63">
        <f t="shared" si="75"/>
        <v>0</v>
      </c>
    </row>
    <row r="414" spans="1:11" s="671" customFormat="1" ht="13">
      <c r="A414" s="109">
        <f t="shared" si="72"/>
        <v>319</v>
      </c>
      <c r="B414" s="631" t="s">
        <v>183</v>
      </c>
      <c r="C414" s="632">
        <v>2020</v>
      </c>
      <c r="D414" s="1072"/>
      <c r="E414" s="63">
        <f>D414*'16-PlantAdditions'!$E$103</f>
        <v>0</v>
      </c>
      <c r="F414" s="63">
        <f t="shared" si="73"/>
        <v>0</v>
      </c>
      <c r="G414" s="1072"/>
      <c r="H414" s="1072"/>
      <c r="I414" s="63">
        <f>(G414-H414)*'16-PlantAdditions'!$E$103</f>
        <v>0</v>
      </c>
      <c r="J414" s="63">
        <f t="shared" si="74"/>
        <v>0</v>
      </c>
      <c r="K414" s="63">
        <f t="shared" si="75"/>
        <v>0</v>
      </c>
    </row>
    <row r="415" spans="1:11" s="671" customFormat="1" ht="13">
      <c r="A415" s="109">
        <f t="shared" si="72"/>
        <v>320</v>
      </c>
      <c r="B415" s="634" t="s">
        <v>184</v>
      </c>
      <c r="C415" s="632">
        <v>2020</v>
      </c>
      <c r="D415" s="1072"/>
      <c r="E415" s="63">
        <f>D415*'16-PlantAdditions'!$E$103</f>
        <v>0</v>
      </c>
      <c r="F415" s="63">
        <f t="shared" si="73"/>
        <v>0</v>
      </c>
      <c r="G415" s="1072"/>
      <c r="H415" s="1072"/>
      <c r="I415" s="63">
        <f>(G415-H415)*'16-PlantAdditions'!$E$103</f>
        <v>0</v>
      </c>
      <c r="J415" s="63">
        <f t="shared" si="74"/>
        <v>0</v>
      </c>
      <c r="K415" s="63">
        <f t="shared" si="75"/>
        <v>0</v>
      </c>
    </row>
    <row r="416" spans="1:11" s="671" customFormat="1" ht="13">
      <c r="A416" s="109">
        <f t="shared" si="72"/>
        <v>321</v>
      </c>
      <c r="B416" s="634" t="s">
        <v>1464</v>
      </c>
      <c r="C416" s="632">
        <v>2020</v>
      </c>
      <c r="D416" s="1072"/>
      <c r="E416" s="63">
        <f>D416*'16-PlantAdditions'!$E$103</f>
        <v>0</v>
      </c>
      <c r="F416" s="63">
        <f t="shared" si="73"/>
        <v>0</v>
      </c>
      <c r="G416" s="1072"/>
      <c r="H416" s="1072"/>
      <c r="I416" s="63">
        <f>(G416-H416)*'16-PlantAdditions'!$E$103</f>
        <v>0</v>
      </c>
      <c r="J416" s="63">
        <f t="shared" si="74"/>
        <v>0</v>
      </c>
      <c r="K416" s="63">
        <f t="shared" si="75"/>
        <v>0</v>
      </c>
    </row>
    <row r="417" spans="1:11" s="671" customFormat="1" ht="13">
      <c r="A417" s="109">
        <f t="shared" si="72"/>
        <v>322</v>
      </c>
      <c r="B417" s="631" t="s">
        <v>186</v>
      </c>
      <c r="C417" s="632">
        <v>2020</v>
      </c>
      <c r="D417" s="1072"/>
      <c r="E417" s="63">
        <f>D417*'16-PlantAdditions'!$E$103</f>
        <v>0</v>
      </c>
      <c r="F417" s="63">
        <f t="shared" si="73"/>
        <v>0</v>
      </c>
      <c r="G417" s="1072"/>
      <c r="H417" s="1072"/>
      <c r="I417" s="63">
        <f>(G417-H417)*'16-PlantAdditions'!$E$103</f>
        <v>0</v>
      </c>
      <c r="J417" s="63">
        <f t="shared" si="74"/>
        <v>0</v>
      </c>
      <c r="K417" s="63">
        <f t="shared" si="75"/>
        <v>0</v>
      </c>
    </row>
    <row r="418" spans="1:11" s="671" customFormat="1" ht="13">
      <c r="A418" s="109">
        <f t="shared" si="72"/>
        <v>323</v>
      </c>
      <c r="B418" s="634" t="s">
        <v>187</v>
      </c>
      <c r="C418" s="632">
        <v>2020</v>
      </c>
      <c r="D418" s="1072"/>
      <c r="E418" s="63">
        <f>D418*'16-PlantAdditions'!$E$103</f>
        <v>0</v>
      </c>
      <c r="F418" s="63">
        <f t="shared" si="73"/>
        <v>0</v>
      </c>
      <c r="G418" s="1072"/>
      <c r="H418" s="1072"/>
      <c r="I418" s="63">
        <f>(G418-H418)*'16-PlantAdditions'!$E$103</f>
        <v>0</v>
      </c>
      <c r="J418" s="63">
        <f t="shared" si="74"/>
        <v>0</v>
      </c>
      <c r="K418" s="63">
        <f t="shared" si="75"/>
        <v>0</v>
      </c>
    </row>
    <row r="419" spans="1:11" s="671" customFormat="1" ht="13">
      <c r="A419" s="109">
        <f t="shared" si="72"/>
        <v>324</v>
      </c>
      <c r="B419" s="634" t="s">
        <v>188</v>
      </c>
      <c r="C419" s="632">
        <v>2020</v>
      </c>
      <c r="D419" s="1072"/>
      <c r="E419" s="63">
        <f>D419*'16-PlantAdditions'!$E$103</f>
        <v>0</v>
      </c>
      <c r="F419" s="63">
        <f t="shared" si="73"/>
        <v>0</v>
      </c>
      <c r="G419" s="1072"/>
      <c r="H419" s="1072"/>
      <c r="I419" s="63">
        <f>(G419-H419)*'16-PlantAdditions'!$E$103</f>
        <v>0</v>
      </c>
      <c r="J419" s="63">
        <f t="shared" si="74"/>
        <v>0</v>
      </c>
      <c r="K419" s="63">
        <f t="shared" si="75"/>
        <v>0</v>
      </c>
    </row>
    <row r="420" spans="1:11" s="671" customFormat="1" ht="13">
      <c r="A420" s="109">
        <f t="shared" si="72"/>
        <v>325</v>
      </c>
      <c r="B420" s="631" t="s">
        <v>191</v>
      </c>
      <c r="C420" s="632">
        <v>2020</v>
      </c>
      <c r="D420" s="1072"/>
      <c r="E420" s="63">
        <f>D420*'16-PlantAdditions'!$E$103</f>
        <v>0</v>
      </c>
      <c r="F420" s="63">
        <f t="shared" si="73"/>
        <v>0</v>
      </c>
      <c r="G420" s="1072"/>
      <c r="H420" s="1072"/>
      <c r="I420" s="63">
        <f>(G420-H420)*'16-PlantAdditions'!$E$103</f>
        <v>0</v>
      </c>
      <c r="J420" s="63">
        <f t="shared" si="74"/>
        <v>0</v>
      </c>
      <c r="K420" s="63">
        <f t="shared" si="75"/>
        <v>0</v>
      </c>
    </row>
    <row r="421" spans="1:11" s="671" customFormat="1" ht="13">
      <c r="A421" s="109">
        <f t="shared" si="72"/>
        <v>326</v>
      </c>
      <c r="B421" s="631" t="s">
        <v>190</v>
      </c>
      <c r="C421" s="632">
        <v>2020</v>
      </c>
      <c r="D421" s="1072"/>
      <c r="E421" s="63">
        <f>D421*'16-PlantAdditions'!$E$103</f>
        <v>0</v>
      </c>
      <c r="F421" s="63">
        <f t="shared" si="73"/>
        <v>0</v>
      </c>
      <c r="G421" s="1072"/>
      <c r="H421" s="1072"/>
      <c r="I421" s="63">
        <f>(G421-H421)*'16-PlantAdditions'!$E$103</f>
        <v>0</v>
      </c>
      <c r="J421" s="63">
        <f t="shared" si="74"/>
        <v>0</v>
      </c>
      <c r="K421" s="63">
        <f t="shared" si="75"/>
        <v>0</v>
      </c>
    </row>
    <row r="422" spans="1:11" s="671" customFormat="1" ht="13">
      <c r="A422" s="109">
        <f t="shared" si="72"/>
        <v>327</v>
      </c>
      <c r="B422" s="631" t="s">
        <v>180</v>
      </c>
      <c r="C422" s="632">
        <v>2020</v>
      </c>
      <c r="D422" s="1072"/>
      <c r="E422" s="63">
        <f>D422*'16-PlantAdditions'!$E$103</f>
        <v>0</v>
      </c>
      <c r="F422" s="63">
        <f t="shared" si="73"/>
        <v>0</v>
      </c>
      <c r="G422" s="1072"/>
      <c r="H422" s="1072"/>
      <c r="I422" s="63">
        <f>(G422-H422)*'16-PlantAdditions'!$E$103</f>
        <v>0</v>
      </c>
      <c r="J422" s="63">
        <f t="shared" si="74"/>
        <v>0</v>
      </c>
      <c r="K422" s="63">
        <f t="shared" si="75"/>
        <v>0</v>
      </c>
    </row>
    <row r="423" spans="1:11" s="671" customFormat="1" ht="13">
      <c r="A423" s="109">
        <f t="shared" si="72"/>
        <v>328</v>
      </c>
      <c r="B423" s="631" t="s">
        <v>181</v>
      </c>
      <c r="C423" s="632">
        <v>2021</v>
      </c>
      <c r="D423" s="1072"/>
      <c r="E423" s="63">
        <f>D423*'16-PlantAdditions'!$E$103</f>
        <v>0</v>
      </c>
      <c r="F423" s="63">
        <f t="shared" si="73"/>
        <v>0</v>
      </c>
      <c r="G423" s="1072"/>
      <c r="H423" s="1072"/>
      <c r="I423" s="63">
        <f>(G423-H423)*'16-PlantAdditions'!$E$103</f>
        <v>0</v>
      </c>
      <c r="J423" s="63">
        <f t="shared" si="74"/>
        <v>0</v>
      </c>
      <c r="K423" s="63">
        <f t="shared" si="75"/>
        <v>0</v>
      </c>
    </row>
    <row r="424" spans="1:11" s="671" customFormat="1" ht="13">
      <c r="A424" s="109">
        <f t="shared" si="72"/>
        <v>329</v>
      </c>
      <c r="B424" s="634" t="s">
        <v>182</v>
      </c>
      <c r="C424" s="632">
        <v>2021</v>
      </c>
      <c r="D424" s="1072"/>
      <c r="E424" s="63">
        <f>D424*'16-PlantAdditions'!$E$103</f>
        <v>0</v>
      </c>
      <c r="F424" s="63">
        <f t="shared" si="73"/>
        <v>0</v>
      </c>
      <c r="G424" s="1072"/>
      <c r="H424" s="1072"/>
      <c r="I424" s="63">
        <f>(G424-H424)*'16-PlantAdditions'!$E$103</f>
        <v>0</v>
      </c>
      <c r="J424" s="63">
        <f t="shared" si="74"/>
        <v>0</v>
      </c>
      <c r="K424" s="63">
        <f t="shared" si="75"/>
        <v>0</v>
      </c>
    </row>
    <row r="425" spans="1:11" s="671" customFormat="1" ht="13">
      <c r="A425" s="109">
        <f t="shared" si="72"/>
        <v>330</v>
      </c>
      <c r="B425" s="634" t="s">
        <v>195</v>
      </c>
      <c r="C425" s="632">
        <v>2021</v>
      </c>
      <c r="D425" s="1072"/>
      <c r="E425" s="63">
        <f>D425*'16-PlantAdditions'!$E$103</f>
        <v>0</v>
      </c>
      <c r="F425" s="63">
        <f t="shared" si="73"/>
        <v>0</v>
      </c>
      <c r="G425" s="1072"/>
      <c r="H425" s="1072"/>
      <c r="I425" s="63">
        <f>(G425-H425)*'16-PlantAdditions'!$E$103</f>
        <v>0</v>
      </c>
      <c r="J425" s="63">
        <f t="shared" si="74"/>
        <v>0</v>
      </c>
      <c r="K425" s="63">
        <f t="shared" si="75"/>
        <v>0</v>
      </c>
    </row>
    <row r="426" spans="1:11" s="671" customFormat="1" ht="13">
      <c r="A426" s="109">
        <f t="shared" si="72"/>
        <v>331</v>
      </c>
      <c r="B426" s="631" t="s">
        <v>183</v>
      </c>
      <c r="C426" s="632">
        <v>2021</v>
      </c>
      <c r="D426" s="1072"/>
      <c r="E426" s="63">
        <f>D426*'16-PlantAdditions'!$E$103</f>
        <v>0</v>
      </c>
      <c r="F426" s="63">
        <f t="shared" si="73"/>
        <v>0</v>
      </c>
      <c r="G426" s="1072"/>
      <c r="H426" s="1072"/>
      <c r="I426" s="63">
        <f>(G426-H426)*'16-PlantAdditions'!$E$103</f>
        <v>0</v>
      </c>
      <c r="J426" s="63">
        <f t="shared" si="74"/>
        <v>0</v>
      </c>
      <c r="K426" s="63">
        <f t="shared" si="75"/>
        <v>0</v>
      </c>
    </row>
    <row r="427" spans="1:11" s="671" customFormat="1" ht="13">
      <c r="A427" s="109">
        <f t="shared" si="72"/>
        <v>332</v>
      </c>
      <c r="B427" s="634" t="s">
        <v>184</v>
      </c>
      <c r="C427" s="632">
        <v>2021</v>
      </c>
      <c r="D427" s="1072"/>
      <c r="E427" s="63">
        <f>D427*'16-PlantAdditions'!$E$103</f>
        <v>0</v>
      </c>
      <c r="F427" s="63">
        <f t="shared" si="73"/>
        <v>0</v>
      </c>
      <c r="G427" s="1072"/>
      <c r="H427" s="1072"/>
      <c r="I427" s="63">
        <f>(G427-H427)*'16-PlantAdditions'!$E$103</f>
        <v>0</v>
      </c>
      <c r="J427" s="63">
        <f t="shared" si="74"/>
        <v>0</v>
      </c>
      <c r="K427" s="63">
        <f t="shared" si="75"/>
        <v>0</v>
      </c>
    </row>
    <row r="428" spans="1:11" s="671" customFormat="1" ht="13">
      <c r="A428" s="109">
        <f t="shared" si="72"/>
        <v>333</v>
      </c>
      <c r="B428" s="634" t="s">
        <v>1464</v>
      </c>
      <c r="C428" s="632">
        <v>2021</v>
      </c>
      <c r="D428" s="1072"/>
      <c r="E428" s="63">
        <f>D428*'16-PlantAdditions'!$E$103</f>
        <v>0</v>
      </c>
      <c r="F428" s="63">
        <f t="shared" si="73"/>
        <v>0</v>
      </c>
      <c r="G428" s="1072"/>
      <c r="H428" s="1072"/>
      <c r="I428" s="63">
        <f>(G428-H428)*'16-PlantAdditions'!$E$103</f>
        <v>0</v>
      </c>
      <c r="J428" s="63">
        <f t="shared" si="74"/>
        <v>0</v>
      </c>
      <c r="K428" s="63">
        <f t="shared" si="75"/>
        <v>0</v>
      </c>
    </row>
    <row r="429" spans="1:11" s="671" customFormat="1" ht="13">
      <c r="A429" s="109">
        <f t="shared" si="72"/>
        <v>334</v>
      </c>
      <c r="B429" s="631" t="s">
        <v>186</v>
      </c>
      <c r="C429" s="632">
        <v>2021</v>
      </c>
      <c r="D429" s="1072"/>
      <c r="E429" s="63">
        <f>D429*'16-PlantAdditions'!$E$103</f>
        <v>0</v>
      </c>
      <c r="F429" s="63">
        <f t="shared" si="73"/>
        <v>0</v>
      </c>
      <c r="G429" s="1072"/>
      <c r="H429" s="1072"/>
      <c r="I429" s="63">
        <f>(G429-H429)*'16-PlantAdditions'!$E$103</f>
        <v>0</v>
      </c>
      <c r="J429" s="63">
        <f t="shared" si="74"/>
        <v>0</v>
      </c>
      <c r="K429" s="63">
        <f t="shared" si="75"/>
        <v>0</v>
      </c>
    </row>
    <row r="430" spans="1:11" s="671" customFormat="1" ht="13">
      <c r="A430" s="109">
        <f t="shared" si="72"/>
        <v>335</v>
      </c>
      <c r="B430" s="634" t="s">
        <v>187</v>
      </c>
      <c r="C430" s="632">
        <v>2021</v>
      </c>
      <c r="D430" s="1072"/>
      <c r="E430" s="63">
        <f>D430*'16-PlantAdditions'!$E$103</f>
        <v>0</v>
      </c>
      <c r="F430" s="63">
        <f t="shared" si="73"/>
        <v>0</v>
      </c>
      <c r="G430" s="1072"/>
      <c r="H430" s="1072"/>
      <c r="I430" s="63">
        <f>(G430-H430)*'16-PlantAdditions'!$E$103</f>
        <v>0</v>
      </c>
      <c r="J430" s="63">
        <f t="shared" si="74"/>
        <v>0</v>
      </c>
      <c r="K430" s="63">
        <f t="shared" si="75"/>
        <v>0</v>
      </c>
    </row>
    <row r="431" spans="1:11" s="671" customFormat="1" ht="13">
      <c r="A431" s="109">
        <f t="shared" si="72"/>
        <v>336</v>
      </c>
      <c r="B431" s="634" t="s">
        <v>188</v>
      </c>
      <c r="C431" s="632">
        <v>2021</v>
      </c>
      <c r="D431" s="1072"/>
      <c r="E431" s="63">
        <f>D431*'16-PlantAdditions'!$E$103</f>
        <v>0</v>
      </c>
      <c r="F431" s="63">
        <f t="shared" si="73"/>
        <v>0</v>
      </c>
      <c r="G431" s="1072"/>
      <c r="H431" s="1072"/>
      <c r="I431" s="63">
        <f>(G431-H431)*'16-PlantAdditions'!$E$103</f>
        <v>0</v>
      </c>
      <c r="J431" s="63">
        <f t="shared" si="74"/>
        <v>0</v>
      </c>
      <c r="K431" s="63">
        <f t="shared" si="75"/>
        <v>0</v>
      </c>
    </row>
    <row r="432" spans="1:11" s="671" customFormat="1" ht="13">
      <c r="A432" s="109">
        <f t="shared" si="72"/>
        <v>337</v>
      </c>
      <c r="B432" s="634" t="s">
        <v>191</v>
      </c>
      <c r="C432" s="632">
        <v>2021</v>
      </c>
      <c r="D432" s="1072"/>
      <c r="E432" s="63">
        <f>D432*'16-PlantAdditions'!$E$103</f>
        <v>0</v>
      </c>
      <c r="F432" s="63">
        <f t="shared" si="73"/>
        <v>0</v>
      </c>
      <c r="G432" s="1072"/>
      <c r="H432" s="1072"/>
      <c r="I432" s="63">
        <f>(G432-H432)*'16-PlantAdditions'!$E$103</f>
        <v>0</v>
      </c>
      <c r="J432" s="63">
        <f t="shared" si="74"/>
        <v>0</v>
      </c>
      <c r="K432" s="63">
        <f t="shared" si="75"/>
        <v>0</v>
      </c>
    </row>
    <row r="433" spans="1:11" s="671" customFormat="1" ht="13">
      <c r="A433" s="109">
        <f t="shared" si="72"/>
        <v>338</v>
      </c>
      <c r="B433" s="634" t="s">
        <v>190</v>
      </c>
      <c r="C433" s="632">
        <v>2021</v>
      </c>
      <c r="D433" s="1072"/>
      <c r="E433" s="63">
        <f>D433*'16-PlantAdditions'!$E$103</f>
        <v>0</v>
      </c>
      <c r="F433" s="63">
        <f t="shared" si="73"/>
        <v>0</v>
      </c>
      <c r="G433" s="1072"/>
      <c r="H433" s="1072"/>
      <c r="I433" s="63">
        <f>(G433-H433)*'16-PlantAdditions'!$E$103</f>
        <v>0</v>
      </c>
      <c r="J433" s="63">
        <f t="shared" si="74"/>
        <v>0</v>
      </c>
      <c r="K433" s="63">
        <f t="shared" si="75"/>
        <v>0</v>
      </c>
    </row>
    <row r="434" spans="1:11" s="671" customFormat="1" ht="13">
      <c r="A434" s="109">
        <f t="shared" si="72"/>
        <v>339</v>
      </c>
      <c r="B434" s="634" t="s">
        <v>180</v>
      </c>
      <c r="C434" s="632">
        <v>2021</v>
      </c>
      <c r="D434" s="1072"/>
      <c r="E434" s="63">
        <f>D434*'16-PlantAdditions'!$E$103</f>
        <v>0</v>
      </c>
      <c r="F434" s="63">
        <f t="shared" si="73"/>
        <v>0</v>
      </c>
      <c r="G434" s="1072"/>
      <c r="H434" s="1072"/>
      <c r="I434" s="63">
        <f>(G434-H434)*'16-PlantAdditions'!$E$103</f>
        <v>0</v>
      </c>
      <c r="J434" s="63">
        <f t="shared" si="74"/>
        <v>0</v>
      </c>
      <c r="K434" s="110">
        <f t="shared" si="75"/>
        <v>0</v>
      </c>
    </row>
    <row r="435" spans="1:11" s="671" customFormat="1" ht="13">
      <c r="A435" s="109">
        <f t="shared" si="72"/>
        <v>340</v>
      </c>
      <c r="B435" s="1048"/>
      <c r="C435" s="670" t="s">
        <v>1614</v>
      </c>
      <c r="H435" s="675"/>
      <c r="I435" s="675"/>
      <c r="K435" s="73">
        <f>AVERAGE(K422:K434)</f>
        <v>0</v>
      </c>
    </row>
    <row r="437" spans="1:11" ht="13">
      <c r="B437" s="639" t="s">
        <v>230</v>
      </c>
    </row>
    <row r="438" spans="1:11">
      <c r="B438" s="634" t="s">
        <v>2066</v>
      </c>
    </row>
    <row r="439" spans="1:11">
      <c r="B439" s="634" t="s">
        <v>2067</v>
      </c>
    </row>
    <row r="441" spans="1:11" ht="13">
      <c r="B441" s="1" t="s">
        <v>378</v>
      </c>
    </row>
    <row r="442" spans="1:11">
      <c r="B442" s="476" t="s">
        <v>995</v>
      </c>
    </row>
    <row r="443" spans="1:11">
      <c r="B443" s="476" t="s">
        <v>2068</v>
      </c>
    </row>
    <row r="444" spans="1:11">
      <c r="B444" s="478" t="s">
        <v>1950</v>
      </c>
    </row>
  </sheetData>
  <mergeCells count="11">
    <mergeCell ref="F371:G371"/>
    <mergeCell ref="D276:E276"/>
    <mergeCell ref="D307:E307"/>
    <mergeCell ref="D340:E340"/>
    <mergeCell ref="D82:E82"/>
    <mergeCell ref="D115:E115"/>
    <mergeCell ref="D148:E148"/>
    <mergeCell ref="D179:E179"/>
    <mergeCell ref="D212:E212"/>
    <mergeCell ref="D243:E243"/>
    <mergeCell ref="D371:E371"/>
  </mergeCells>
  <pageMargins left="0.7" right="0.7" top="0.75" bottom="0.75" header="0.3" footer="0.3"/>
  <pageSetup scale="50" fitToHeight="0" orientation="landscape" cellComments="asDisplayed" r:id="rId1"/>
  <headerFooter>
    <oddHeader>&amp;CSchedule 10
CWIP
&amp;RTO2021 Annual Update
Attachment 5
TO2018 True Up TRR</oddHeader>
    <oddFooter>&amp;R&amp;A</oddFooter>
  </headerFooter>
  <rowBreaks count="6" manualBreakCount="6">
    <brk id="47" max="16383" man="1"/>
    <brk id="113" max="10" man="1"/>
    <brk id="177" max="10" man="1"/>
    <brk id="241" max="10" man="1"/>
    <brk id="305" max="10" man="1"/>
    <brk id="369"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1"/>
  <sheetViews>
    <sheetView zoomScaleNormal="100" zoomScalePageLayoutView="90" workbookViewId="0"/>
  </sheetViews>
  <sheetFormatPr defaultRowHeight="12.5"/>
  <cols>
    <col min="1" max="1" width="4.54296875" customWidth="1"/>
    <col min="2" max="2" width="22.54296875" customWidth="1"/>
    <col min="3" max="3" width="8.54296875" customWidth="1"/>
    <col min="4" max="5" width="25.54296875" customWidth="1"/>
    <col min="6" max="6" width="22.54296875" customWidth="1"/>
  </cols>
  <sheetData>
    <row r="1" spans="1:6" ht="13">
      <c r="A1" s="38" t="s">
        <v>1199</v>
      </c>
      <c r="B1" s="119"/>
      <c r="C1" s="39"/>
      <c r="D1" s="39"/>
      <c r="E1" s="39"/>
      <c r="F1" s="39"/>
    </row>
    <row r="2" spans="1:6" ht="13">
      <c r="A2" s="121"/>
      <c r="B2" s="14"/>
      <c r="C2" s="122"/>
      <c r="D2" s="122"/>
      <c r="F2" s="43" t="s">
        <v>17</v>
      </c>
    </row>
    <row r="3" spans="1:6" ht="13">
      <c r="A3" s="121"/>
      <c r="B3" s="15" t="s">
        <v>495</v>
      </c>
      <c r="C3" s="122"/>
      <c r="D3" s="122"/>
      <c r="E3" s="122"/>
    </row>
    <row r="4" spans="1:6" ht="13">
      <c r="A4" s="121"/>
      <c r="B4" s="15" t="s">
        <v>387</v>
      </c>
      <c r="C4" s="122"/>
      <c r="D4" s="122"/>
      <c r="E4" s="122"/>
    </row>
    <row r="5" spans="1:6" ht="13">
      <c r="A5" s="121"/>
      <c r="B5" s="15" t="s">
        <v>392</v>
      </c>
      <c r="C5" s="122"/>
      <c r="D5" s="122"/>
      <c r="E5" s="122"/>
    </row>
    <row r="6" spans="1:6" ht="13">
      <c r="A6" s="121"/>
    </row>
    <row r="7" spans="1:6" ht="13">
      <c r="A7" s="51" t="s">
        <v>330</v>
      </c>
      <c r="B7" s="14"/>
      <c r="C7" s="122"/>
      <c r="D7" s="3" t="s">
        <v>390</v>
      </c>
      <c r="E7" s="120" t="s">
        <v>389</v>
      </c>
      <c r="F7" s="123" t="s">
        <v>179</v>
      </c>
    </row>
    <row r="8" spans="1:6" ht="13">
      <c r="A8" s="2">
        <v>1</v>
      </c>
      <c r="B8" s="15" t="s">
        <v>401</v>
      </c>
      <c r="D8" s="6">
        <v>30786587</v>
      </c>
      <c r="E8" s="6">
        <v>30786584</v>
      </c>
      <c r="F8" s="13" t="s">
        <v>1212</v>
      </c>
    </row>
    <row r="9" spans="1:6" ht="13">
      <c r="A9" s="2"/>
      <c r="B9" s="15"/>
      <c r="D9" s="14"/>
      <c r="E9" s="12"/>
    </row>
    <row r="10" spans="1:6" ht="13">
      <c r="A10" s="2"/>
      <c r="B10" s="15" t="s">
        <v>395</v>
      </c>
      <c r="D10" s="14"/>
      <c r="E10" s="12"/>
    </row>
    <row r="11" spans="1:6" ht="13">
      <c r="A11" s="2"/>
      <c r="B11" s="15"/>
      <c r="D11" s="14"/>
      <c r="E11" s="12"/>
    </row>
    <row r="12" spans="1:6" ht="13">
      <c r="A12" s="2"/>
      <c r="B12" s="84" t="s">
        <v>359</v>
      </c>
      <c r="C12" s="84" t="s">
        <v>343</v>
      </c>
      <c r="D12" s="84" t="s">
        <v>344</v>
      </c>
      <c r="E12" s="84" t="s">
        <v>345</v>
      </c>
      <c r="F12" s="84" t="s">
        <v>346</v>
      </c>
    </row>
    <row r="13" spans="1:6" ht="13">
      <c r="A13" s="2"/>
      <c r="B13" s="15"/>
      <c r="C13" s="2" t="s">
        <v>398</v>
      </c>
      <c r="D13" s="14"/>
      <c r="E13" s="12"/>
    </row>
    <row r="14" spans="1:6" ht="13">
      <c r="A14" s="2"/>
      <c r="B14" s="51" t="s">
        <v>100</v>
      </c>
      <c r="C14" s="3" t="s">
        <v>397</v>
      </c>
      <c r="D14" s="3" t="s">
        <v>390</v>
      </c>
      <c r="E14" s="120" t="s">
        <v>389</v>
      </c>
      <c r="F14" s="120" t="s">
        <v>179</v>
      </c>
    </row>
    <row r="15" spans="1:6" ht="13">
      <c r="A15" s="2" t="s">
        <v>509</v>
      </c>
      <c r="B15" s="1054" t="s">
        <v>2722</v>
      </c>
      <c r="C15" s="95" t="s">
        <v>2723</v>
      </c>
      <c r="D15" s="6">
        <v>9942155</v>
      </c>
      <c r="E15" s="6">
        <v>9942155</v>
      </c>
      <c r="F15" s="95" t="s">
        <v>2724</v>
      </c>
    </row>
    <row r="16" spans="1:6" ht="13">
      <c r="A16" s="2" t="s">
        <v>510</v>
      </c>
      <c r="B16" s="114"/>
      <c r="C16" s="95"/>
      <c r="D16" s="6"/>
      <c r="E16" s="6"/>
      <c r="F16" s="95"/>
    </row>
    <row r="17" spans="1:6" ht="13">
      <c r="A17" s="2" t="s">
        <v>511</v>
      </c>
      <c r="B17" s="114"/>
      <c r="C17" s="95"/>
      <c r="D17" s="6"/>
      <c r="E17" s="6"/>
      <c r="F17" s="95"/>
    </row>
    <row r="18" spans="1:6" ht="13">
      <c r="A18" s="2" t="s">
        <v>512</v>
      </c>
      <c r="B18" s="114"/>
      <c r="C18" s="95"/>
      <c r="D18" s="6"/>
      <c r="E18" s="6"/>
      <c r="F18" s="95"/>
    </row>
    <row r="19" spans="1:6" ht="13">
      <c r="A19" s="2" t="s">
        <v>513</v>
      </c>
      <c r="B19" s="114"/>
      <c r="C19" s="95"/>
      <c r="D19" s="6"/>
      <c r="E19" s="6"/>
      <c r="F19" s="95"/>
    </row>
    <row r="20" spans="1:6" ht="13">
      <c r="A20" s="2" t="s">
        <v>514</v>
      </c>
      <c r="B20" s="114"/>
      <c r="C20" s="95"/>
      <c r="D20" s="6"/>
      <c r="E20" s="6"/>
      <c r="F20" s="95"/>
    </row>
    <row r="21" spans="1:6" ht="13">
      <c r="A21" s="2" t="s">
        <v>515</v>
      </c>
      <c r="B21" s="114"/>
      <c r="C21" s="95"/>
      <c r="D21" s="6"/>
      <c r="E21" s="6"/>
      <c r="F21" s="95"/>
    </row>
    <row r="22" spans="1:6" ht="13">
      <c r="A22" s="2" t="s">
        <v>516</v>
      </c>
      <c r="B22" s="114"/>
      <c r="C22" s="95"/>
      <c r="D22" s="6"/>
      <c r="E22" s="6"/>
      <c r="F22" s="95"/>
    </row>
    <row r="23" spans="1:6" ht="13">
      <c r="A23" s="187"/>
      <c r="B23" s="398" t="s">
        <v>506</v>
      </c>
      <c r="C23" s="95"/>
      <c r="D23" s="399"/>
      <c r="E23" s="399"/>
      <c r="F23" s="95"/>
    </row>
    <row r="24" spans="1:6" ht="13">
      <c r="A24" s="2">
        <v>3</v>
      </c>
      <c r="C24" s="12" t="s">
        <v>4</v>
      </c>
      <c r="D24" s="7">
        <f>SUM(D15:D22)</f>
        <v>9942155</v>
      </c>
      <c r="E24" s="7">
        <f>SUM(E15:E22)</f>
        <v>9942155</v>
      </c>
      <c r="F24" s="13" t="s">
        <v>518</v>
      </c>
    </row>
    <row r="25" spans="1:6">
      <c r="C25" s="12"/>
    </row>
    <row r="26" spans="1:6" ht="13">
      <c r="C26" s="12"/>
      <c r="D26" s="3" t="s">
        <v>390</v>
      </c>
      <c r="E26" s="120" t="s">
        <v>389</v>
      </c>
      <c r="F26" s="123" t="s">
        <v>179</v>
      </c>
    </row>
    <row r="27" spans="1:6" ht="13">
      <c r="A27" s="2">
        <v>4</v>
      </c>
      <c r="B27" s="12" t="s">
        <v>391</v>
      </c>
      <c r="C27" s="12"/>
      <c r="D27" s="6">
        <v>0</v>
      </c>
      <c r="E27" s="6">
        <v>0</v>
      </c>
      <c r="F27" s="46" t="s">
        <v>388</v>
      </c>
    </row>
    <row r="28" spans="1:6" ht="13">
      <c r="A28" s="2">
        <v>5</v>
      </c>
      <c r="B28" s="12" t="s">
        <v>303</v>
      </c>
      <c r="D28" s="124">
        <f>'27-Allocators'!G10</f>
        <v>6.5693761162178274E-2</v>
      </c>
      <c r="E28" s="124">
        <f>'27-Allocators'!G10</f>
        <v>6.5693761162178274E-2</v>
      </c>
      <c r="F28" s="46" t="str">
        <f>"27-Allocators, L "&amp;'27-Allocators'!A10&amp;""</f>
        <v>27-Allocators, L 5</v>
      </c>
    </row>
    <row r="29" spans="1:6" ht="13">
      <c r="A29" s="2">
        <v>6</v>
      </c>
      <c r="B29" s="12" t="s">
        <v>399</v>
      </c>
      <c r="C29" s="12"/>
      <c r="D29" s="63">
        <f>D27*D28</f>
        <v>0</v>
      </c>
      <c r="E29" s="63">
        <f>E27*E28</f>
        <v>0</v>
      </c>
      <c r="F29" s="13" t="str">
        <f>"L "&amp;A27&amp;" * L "&amp;A28&amp;""</f>
        <v>L 4 * L 5</v>
      </c>
    </row>
    <row r="30" spans="1:6">
      <c r="C30" s="12"/>
    </row>
    <row r="31" spans="1:6">
      <c r="B31" s="12" t="s">
        <v>396</v>
      </c>
    </row>
    <row r="32" spans="1:6">
      <c r="C32" s="32"/>
      <c r="D32" s="33"/>
      <c r="E32" s="35"/>
    </row>
    <row r="33" spans="1:6" ht="13">
      <c r="D33" s="3" t="s">
        <v>390</v>
      </c>
      <c r="E33" s="120" t="s">
        <v>389</v>
      </c>
      <c r="F33" s="123" t="s">
        <v>179</v>
      </c>
    </row>
    <row r="34" spans="1:6" ht="13">
      <c r="A34" s="2">
        <v>7</v>
      </c>
      <c r="C34" s="12"/>
      <c r="D34" s="6">
        <f>D8-D15</f>
        <v>20844432</v>
      </c>
      <c r="E34" s="6">
        <f>E8-E15</f>
        <v>20844429</v>
      </c>
      <c r="F34" s="13" t="s">
        <v>360</v>
      </c>
    </row>
    <row r="37" spans="1:6" ht="13">
      <c r="B37" s="12" t="s">
        <v>400</v>
      </c>
      <c r="D37" s="3" t="s">
        <v>390</v>
      </c>
      <c r="E37" s="120" t="s">
        <v>389</v>
      </c>
      <c r="F37" s="123" t="s">
        <v>179</v>
      </c>
    </row>
    <row r="38" spans="1:6" ht="13">
      <c r="A38" s="2">
        <v>8</v>
      </c>
      <c r="D38" s="99">
        <f>D24+D29</f>
        <v>9942155</v>
      </c>
      <c r="E38" s="99">
        <f>E24+E29</f>
        <v>9942155</v>
      </c>
      <c r="F38" s="13" t="str">
        <f>"L "&amp;A24&amp;" + L "&amp;A29&amp;""</f>
        <v>L 3 + L 6</v>
      </c>
    </row>
    <row r="39" spans="1:6" ht="13">
      <c r="A39" s="2"/>
      <c r="D39" s="99"/>
      <c r="E39" s="99"/>
      <c r="F39" s="13"/>
    </row>
    <row r="40" spans="1:6">
      <c r="B40" t="s">
        <v>402</v>
      </c>
    </row>
    <row r="41" spans="1:6" ht="13">
      <c r="A41" s="2">
        <v>9</v>
      </c>
      <c r="B41" s="12" t="s">
        <v>400</v>
      </c>
      <c r="D41" s="47">
        <f>(D38+E38)/2</f>
        <v>9942155</v>
      </c>
      <c r="E41" s="99"/>
      <c r="F41" s="13" t="str">
        <f>"Sum of Line "&amp;A38&amp;" / 2"</f>
        <v>Sum of Line 8 / 2</v>
      </c>
    </row>
    <row r="42" spans="1:6">
      <c r="B42" s="12"/>
    </row>
    <row r="43" spans="1:6" ht="13">
      <c r="B43" s="1" t="s">
        <v>497</v>
      </c>
      <c r="C43" s="12"/>
    </row>
    <row r="44" spans="1:6">
      <c r="C44" s="12"/>
    </row>
    <row r="45" spans="1:6" ht="13">
      <c r="A45" s="2"/>
      <c r="F45" s="123" t="s">
        <v>179</v>
      </c>
    </row>
    <row r="46" spans="1:6" ht="13">
      <c r="A46" s="2">
        <v>10</v>
      </c>
      <c r="B46" s="12" t="s">
        <v>496</v>
      </c>
      <c r="E46" s="1065">
        <v>0</v>
      </c>
      <c r="F46" s="13" t="s">
        <v>33</v>
      </c>
    </row>
    <row r="49" spans="2:2" ht="13">
      <c r="B49" s="1" t="s">
        <v>378</v>
      </c>
    </row>
    <row r="50" spans="2:2">
      <c r="B50" s="12" t="s">
        <v>393</v>
      </c>
    </row>
    <row r="51" spans="2:2">
      <c r="B51" s="12" t="s">
        <v>1203</v>
      </c>
    </row>
    <row r="52" spans="2:2">
      <c r="B52" s="12" t="s">
        <v>1204</v>
      </c>
    </row>
    <row r="53" spans="2:2">
      <c r="B53" s="12" t="s">
        <v>517</v>
      </c>
    </row>
    <row r="54" spans="2:2">
      <c r="B54" s="12" t="str">
        <f>"2) For any Electric Plant Held for Future Use classified as General note amount on Line "&amp;A27&amp;"."</f>
        <v>2) For any Electric Plant Held for Future Use classified as General note amount on Line 4.</v>
      </c>
    </row>
    <row r="55" spans="2:2">
      <c r="B55" s="12" t="s">
        <v>1205</v>
      </c>
    </row>
    <row r="56" spans="2:2">
      <c r="B56" s="12" t="s">
        <v>394</v>
      </c>
    </row>
    <row r="57" spans="2:2">
      <c r="B57" s="476" t="s">
        <v>1652</v>
      </c>
    </row>
    <row r="58" spans="2:2">
      <c r="B58" s="12" t="s">
        <v>1202</v>
      </c>
    </row>
    <row r="59" spans="2:2">
      <c r="B59" s="12"/>
    </row>
    <row r="60" spans="2:2" ht="13">
      <c r="B60" s="1" t="s">
        <v>230</v>
      </c>
    </row>
    <row r="61" spans="2:2">
      <c r="B61" s="12" t="s">
        <v>1213</v>
      </c>
    </row>
  </sheetData>
  <pageMargins left="0.7" right="0.7" top="0.75" bottom="0.75" header="0.3" footer="0.3"/>
  <pageSetup scale="80" orientation="portrait" cellComments="asDisplayed" r:id="rId1"/>
  <headerFooter>
    <oddHeader>&amp;CSchedule 11
Plant Held for Future Use
&amp;RTO2021 Annual Update
Attachment 5
TO2018 True Up TRR</oddHeader>
    <oddFooter>&amp;R11-PHFU</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6"/>
  <sheetViews>
    <sheetView zoomScaleNormal="100" workbookViewId="0"/>
  </sheetViews>
  <sheetFormatPr defaultRowHeight="12.5"/>
  <cols>
    <col min="1" max="1" width="4.54296875" customWidth="1"/>
    <col min="2" max="2" width="5.54296875" customWidth="1"/>
    <col min="3" max="10" width="12.54296875" customWidth="1"/>
    <col min="12" max="12" width="9.453125" style="14"/>
  </cols>
  <sheetData>
    <row r="1" spans="1:10" ht="13">
      <c r="A1" s="1" t="s">
        <v>291</v>
      </c>
    </row>
    <row r="2" spans="1:10">
      <c r="I2" s="527" t="s">
        <v>246</v>
      </c>
      <c r="J2" s="527"/>
    </row>
    <row r="3" spans="1:10">
      <c r="B3" t="s">
        <v>316</v>
      </c>
    </row>
    <row r="5" spans="1:10">
      <c r="B5" t="s">
        <v>311</v>
      </c>
    </row>
    <row r="6" spans="1:10">
      <c r="B6" t="s">
        <v>317</v>
      </c>
    </row>
    <row r="7" spans="1:10">
      <c r="F7" s="75" t="s">
        <v>224</v>
      </c>
      <c r="H7" s="75" t="s">
        <v>1814</v>
      </c>
    </row>
    <row r="8" spans="1:10">
      <c r="B8" s="14" t="s">
        <v>1813</v>
      </c>
      <c r="C8" s="14"/>
      <c r="D8" s="14"/>
      <c r="E8" s="14"/>
      <c r="F8" s="1054"/>
      <c r="G8" s="95"/>
      <c r="H8" s="1054"/>
      <c r="I8" s="95"/>
      <c r="J8" s="95"/>
    </row>
    <row r="9" spans="1:10">
      <c r="B9" s="14"/>
      <c r="C9" s="14"/>
      <c r="D9" s="14"/>
      <c r="E9" s="14"/>
      <c r="F9" s="1054"/>
      <c r="G9" s="95"/>
      <c r="H9" s="95"/>
      <c r="I9" s="95"/>
      <c r="J9" s="95"/>
    </row>
    <row r="10" spans="1:10">
      <c r="B10" s="14"/>
      <c r="C10" s="14"/>
      <c r="D10" s="14"/>
      <c r="E10" s="14"/>
      <c r="F10" s="945" t="s">
        <v>506</v>
      </c>
      <c r="G10" s="14"/>
      <c r="H10" s="945" t="s">
        <v>506</v>
      </c>
      <c r="I10" s="14"/>
    </row>
    <row r="12" spans="1:10">
      <c r="B12" s="476" t="s">
        <v>376</v>
      </c>
    </row>
    <row r="13" spans="1:10">
      <c r="B13" s="476"/>
    </row>
    <row r="14" spans="1:10">
      <c r="B14" s="476" t="s">
        <v>374</v>
      </c>
    </row>
    <row r="15" spans="1:10">
      <c r="B15" s="476" t="s">
        <v>375</v>
      </c>
    </row>
    <row r="16" spans="1:10" ht="13">
      <c r="B16" s="476"/>
      <c r="G16" s="572" t="s">
        <v>377</v>
      </c>
    </row>
    <row r="17" spans="1:12" ht="13">
      <c r="A17" s="51" t="s">
        <v>330</v>
      </c>
      <c r="G17" s="3" t="s">
        <v>63</v>
      </c>
      <c r="I17" s="51" t="s">
        <v>236</v>
      </c>
    </row>
    <row r="18" spans="1:12" ht="13">
      <c r="A18" s="572">
        <v>1</v>
      </c>
      <c r="F18" s="37" t="s">
        <v>312</v>
      </c>
      <c r="G18" s="63">
        <f>SUM(IF(B31='1-BaseTRR'!$K$4,E31+I31,0),IF(B32='1-BaseTRR'!$K$4,E32+I32,0),IF(B33='1-BaseTRR'!$K$4,E33+I33,0),IF(B34='1-BaseTRR'!$K$4,E34+I34,0),IF(B35='1-BaseTRR'!$K$4,E35+I35,0),IF(B36='1-BaseTRR'!$K$4,E36+I36,0),IF(B37='1-BaseTRR'!$K$4,E37+I37,0),IF(B38='1-BaseTRR'!$K$4,E38+I38,0),IF(B39='1-BaseTRR'!$K$4,E39+I39,0),IF(B40='1-BaseTRR'!$K$4,E40+I40,0),IF(B41='1-BaseTRR'!$K$4,E41+I41,0))</f>
        <v>0</v>
      </c>
      <c r="I18" s="476" t="s">
        <v>386</v>
      </c>
    </row>
    <row r="19" spans="1:12" ht="13">
      <c r="A19" s="572">
        <v>2</v>
      </c>
      <c r="F19" s="474" t="s">
        <v>380</v>
      </c>
      <c r="G19" s="63">
        <f>SUM(IF(B31='1-BaseTRR'!$K$4-1,C31+G31,0),IF(B32='1-BaseTRR'!$K$4-1,C32+G32,0),IF(B33='1-BaseTRR'!$K$4-1,C33+G33,0),IF(B34='1-BaseTRR'!$K$4-1,C34+G34,0),IF(B35='1-BaseTRR'!$K$4-1,C35+G35,0),IF(B36='1-BaseTRR'!$K$4-1,C36+G36,0),IF(B37='1-BaseTRR'!$K$4-1,C37+G37,0),IF(B38='1-BaseTRR'!$K$4-1,C38+G38,0),IF(B39='1-BaseTRR'!$K$4-1,C39+G39,0),IF(B40='1-BaseTRR'!$K$4-1,C40+G40,0),IF(B41='1-BaseTRR'!$K$4-1,C41+G41,0))</f>
        <v>0</v>
      </c>
      <c r="I19" s="476" t="s">
        <v>386</v>
      </c>
    </row>
    <row r="20" spans="1:12" ht="13">
      <c r="A20" s="572">
        <v>3</v>
      </c>
      <c r="F20" s="37" t="s">
        <v>314</v>
      </c>
      <c r="G20" s="63">
        <f>SUM(IF(B31='1-BaseTRR'!$K$4,C31+G31,0),IF(B32='1-BaseTRR'!$K$4,C32+G32,0),IF(B33='1-BaseTRR'!$K$4,C33+G33,0),IF(B34='1-BaseTRR'!$K$4,C34+G34,0),IF(B35='1-BaseTRR'!$K$4,C35+G35,0),IF(B36='1-BaseTRR'!$K$4,C36+G36,0),IF(B37='1-BaseTRR'!$K$4,C37+G37,0),IF(B38='1-BaseTRR'!$K$4,C38+G38,0),IF(B39='1-BaseTRR'!$K$4,C39+G39,0),IF(B40='1-BaseTRR'!$K$4,C40+G40,0),IF(B41='1-BaseTRR'!$K$4,C41+G41,0))</f>
        <v>0</v>
      </c>
      <c r="I20" s="476" t="s">
        <v>386</v>
      </c>
    </row>
    <row r="21" spans="1:12" ht="13">
      <c r="A21" s="572">
        <v>4</v>
      </c>
      <c r="F21" s="37" t="s">
        <v>315</v>
      </c>
      <c r="G21" s="63">
        <f>(G19+G20)/2</f>
        <v>0</v>
      </c>
      <c r="I21" s="476" t="str">
        <f>"Average of Lines "&amp;A19&amp;" and "&amp;A20&amp;"."</f>
        <v>Average of Lines 2 and 3.</v>
      </c>
    </row>
    <row r="22" spans="1:12" s="1048" customFormat="1" ht="13">
      <c r="A22" s="572">
        <v>5</v>
      </c>
      <c r="E22" s="478"/>
      <c r="F22" s="918" t="s">
        <v>2300</v>
      </c>
      <c r="G22" s="63">
        <f>SUM(IF(B31='1-BaseTRR'!$K$4-1,D31+H31,0),IF(B32='1-BaseTRR'!$K$4-1,D32+H32,0),IF(B33='1-BaseTRR'!$K$4-1,D33+H33,0),IF(B34='1-BaseTRR'!$K$4-1,D34+H34,0),IF(B35='1-BaseTRR'!$K$4-1,D35+H35,0),IF(B36='1-BaseTRR'!$K$4-1,D36+H36,0),IF(B37='1-BaseTRR'!$K$4-1,D37+H37,0),IF(B38='1-BaseTRR'!$K$4-1,D38+H38,0),IF(B39='1-BaseTRR'!$K$4-1,D39+H39,0),IF(B40='1-BaseTRR'!$K$4-1,D40+H40,0),IF(B41='1-BaseTRR'!$K$4-1,D41+H41,0))</f>
        <v>0</v>
      </c>
      <c r="H22" s="478"/>
      <c r="I22" s="478" t="s">
        <v>386</v>
      </c>
      <c r="J22" s="478"/>
      <c r="L22" s="14"/>
    </row>
    <row r="23" spans="1:12">
      <c r="I23" s="476"/>
    </row>
    <row r="25" spans="1:12" ht="13">
      <c r="A25" s="572">
        <v>6</v>
      </c>
      <c r="C25" s="1" t="s">
        <v>504</v>
      </c>
      <c r="D25" s="1054" t="s">
        <v>505</v>
      </c>
      <c r="G25" s="150" t="s">
        <v>507</v>
      </c>
      <c r="H25" s="486" t="s">
        <v>505</v>
      </c>
      <c r="I25" s="574"/>
      <c r="J25" s="478"/>
    </row>
    <row r="26" spans="1:12" ht="13">
      <c r="A26" s="572"/>
      <c r="C26" s="1"/>
      <c r="D26" s="478"/>
      <c r="E26" s="14"/>
      <c r="G26" s="574"/>
      <c r="H26" s="478"/>
      <c r="I26" s="574"/>
      <c r="J26" s="478"/>
    </row>
    <row r="27" spans="1:12" ht="13">
      <c r="D27" s="109" t="s">
        <v>1687</v>
      </c>
      <c r="E27" s="109" t="s">
        <v>371</v>
      </c>
      <c r="F27" s="14"/>
      <c r="G27" s="14"/>
      <c r="H27" s="109" t="s">
        <v>1687</v>
      </c>
      <c r="I27" s="572" t="s">
        <v>371</v>
      </c>
      <c r="J27" s="109"/>
    </row>
    <row r="28" spans="1:12" ht="13">
      <c r="C28" s="572" t="s">
        <v>300</v>
      </c>
      <c r="D28" s="109" t="s">
        <v>371</v>
      </c>
      <c r="E28" s="109" t="s">
        <v>372</v>
      </c>
      <c r="F28" s="14"/>
      <c r="G28" s="109" t="s">
        <v>300</v>
      </c>
      <c r="H28" s="109" t="s">
        <v>371</v>
      </c>
      <c r="I28" s="572" t="s">
        <v>372</v>
      </c>
      <c r="J28" s="109"/>
    </row>
    <row r="29" spans="1:12" ht="13">
      <c r="C29" s="572" t="s">
        <v>371</v>
      </c>
      <c r="D29" s="109" t="s">
        <v>372</v>
      </c>
      <c r="E29" s="109" t="s">
        <v>373</v>
      </c>
      <c r="F29" s="14"/>
      <c r="G29" s="109" t="s">
        <v>371</v>
      </c>
      <c r="H29" s="109" t="s">
        <v>372</v>
      </c>
      <c r="I29" s="572" t="s">
        <v>373</v>
      </c>
      <c r="J29" s="109"/>
    </row>
    <row r="30" spans="1:12" ht="13">
      <c r="A30" s="572"/>
      <c r="B30" s="3" t="s">
        <v>193</v>
      </c>
      <c r="C30" s="3" t="s">
        <v>372</v>
      </c>
      <c r="D30" s="123" t="s">
        <v>1688</v>
      </c>
      <c r="E30" s="123" t="s">
        <v>324</v>
      </c>
      <c r="F30" s="14"/>
      <c r="G30" s="123" t="s">
        <v>372</v>
      </c>
      <c r="H30" s="123" t="s">
        <v>1688</v>
      </c>
      <c r="I30" s="3" t="s">
        <v>324</v>
      </c>
      <c r="J30" s="123"/>
    </row>
    <row r="31" spans="1:12" ht="13">
      <c r="A31" s="572">
        <v>7</v>
      </c>
      <c r="B31">
        <v>2015</v>
      </c>
      <c r="C31" s="1153"/>
      <c r="D31" s="1153"/>
      <c r="E31" s="1153"/>
      <c r="G31" s="95"/>
      <c r="H31" s="95"/>
      <c r="I31" s="95"/>
      <c r="J31" s="14"/>
    </row>
    <row r="32" spans="1:12" ht="13">
      <c r="A32" s="572">
        <v>8</v>
      </c>
      <c r="B32">
        <v>2016</v>
      </c>
      <c r="C32" s="1153"/>
      <c r="D32" s="1153"/>
      <c r="E32" s="1153"/>
      <c r="G32" s="95"/>
      <c r="H32" s="95"/>
      <c r="I32" s="95"/>
      <c r="J32" s="14"/>
    </row>
    <row r="33" spans="1:10" ht="13">
      <c r="A33" s="572">
        <v>9</v>
      </c>
      <c r="B33">
        <v>2017</v>
      </c>
      <c r="C33" s="95"/>
      <c r="D33" s="95"/>
      <c r="E33" s="95"/>
      <c r="G33" s="95"/>
      <c r="H33" s="95"/>
      <c r="I33" s="95"/>
      <c r="J33" s="14"/>
    </row>
    <row r="34" spans="1:10" ht="13">
      <c r="A34" s="572">
        <v>10</v>
      </c>
      <c r="B34">
        <v>2018</v>
      </c>
      <c r="C34" s="95"/>
      <c r="D34" s="95"/>
      <c r="E34" s="95"/>
      <c r="G34" s="95"/>
      <c r="H34" s="95"/>
      <c r="I34" s="95"/>
      <c r="J34" s="14"/>
    </row>
    <row r="35" spans="1:10" ht="13">
      <c r="A35" s="572">
        <v>11</v>
      </c>
      <c r="B35">
        <v>2019</v>
      </c>
      <c r="C35" s="95"/>
      <c r="D35" s="95"/>
      <c r="E35" s="95"/>
      <c r="G35" s="95"/>
      <c r="H35" s="95"/>
      <c r="I35" s="95"/>
      <c r="J35" s="14"/>
    </row>
    <row r="36" spans="1:10" ht="13">
      <c r="A36" s="572">
        <v>12</v>
      </c>
      <c r="B36">
        <v>2020</v>
      </c>
      <c r="C36" s="95"/>
      <c r="D36" s="95"/>
      <c r="E36" s="95"/>
      <c r="G36" s="95"/>
      <c r="H36" s="95"/>
      <c r="I36" s="95"/>
      <c r="J36" s="14"/>
    </row>
    <row r="37" spans="1:10" ht="13">
      <c r="A37" s="572">
        <v>13</v>
      </c>
      <c r="B37">
        <v>2021</v>
      </c>
      <c r="C37" s="95"/>
      <c r="D37" s="95"/>
      <c r="E37" s="95"/>
      <c r="G37" s="95"/>
      <c r="H37" s="95"/>
      <c r="I37" s="95"/>
      <c r="J37" s="14"/>
    </row>
    <row r="38" spans="1:10" ht="13">
      <c r="A38" s="572">
        <v>14</v>
      </c>
      <c r="B38">
        <v>2022</v>
      </c>
      <c r="C38" s="95"/>
      <c r="D38" s="95"/>
      <c r="E38" s="95"/>
      <c r="G38" s="95"/>
      <c r="H38" s="95"/>
      <c r="I38" s="95"/>
      <c r="J38" s="14"/>
    </row>
    <row r="39" spans="1:10" ht="13">
      <c r="A39" s="572">
        <v>15</v>
      </c>
      <c r="B39">
        <v>2023</v>
      </c>
      <c r="C39" s="95"/>
      <c r="D39" s="95"/>
      <c r="E39" s="95"/>
      <c r="G39" s="95"/>
      <c r="H39" s="95"/>
      <c r="I39" s="95"/>
      <c r="J39" s="14"/>
    </row>
    <row r="40" spans="1:10" ht="13">
      <c r="A40" s="572">
        <v>16</v>
      </c>
      <c r="B40">
        <v>2024</v>
      </c>
      <c r="C40" s="95"/>
      <c r="D40" s="95"/>
      <c r="E40" s="95"/>
      <c r="G40" s="95"/>
      <c r="H40" s="95"/>
      <c r="I40" s="95"/>
      <c r="J40" s="14"/>
    </row>
    <row r="41" spans="1:10" ht="13">
      <c r="A41" s="572">
        <v>17</v>
      </c>
      <c r="B41">
        <v>2025</v>
      </c>
      <c r="C41" s="95"/>
      <c r="D41" s="95"/>
      <c r="E41" s="95"/>
      <c r="G41" s="95"/>
      <c r="H41" s="95"/>
      <c r="I41" s="95"/>
      <c r="J41" s="14"/>
    </row>
    <row r="42" spans="1:10" ht="13">
      <c r="A42" s="572">
        <v>18</v>
      </c>
      <c r="B42" s="575" t="s">
        <v>506</v>
      </c>
    </row>
    <row r="43" spans="1:10" ht="13">
      <c r="A43" s="572"/>
      <c r="B43" s="575"/>
    </row>
    <row r="44" spans="1:10" ht="13">
      <c r="A44" s="572"/>
      <c r="B44" s="44" t="s">
        <v>230</v>
      </c>
      <c r="C44" s="14"/>
      <c r="D44" s="14"/>
      <c r="E44" s="14"/>
      <c r="F44" s="14"/>
      <c r="G44" s="14"/>
      <c r="H44" s="14"/>
      <c r="I44" s="14"/>
      <c r="J44" s="14"/>
    </row>
    <row r="45" spans="1:10" ht="13">
      <c r="A45" s="572"/>
      <c r="B45" s="478" t="s">
        <v>1689</v>
      </c>
      <c r="C45" s="14"/>
      <c r="D45" s="14"/>
      <c r="E45" s="14"/>
      <c r="F45" s="14"/>
      <c r="G45" s="14"/>
      <c r="H45" s="14"/>
      <c r="I45" s="14"/>
      <c r="J45" s="14"/>
    </row>
    <row r="46" spans="1:10" ht="13">
      <c r="A46" s="572"/>
      <c r="B46" s="14"/>
      <c r="C46" s="14"/>
      <c r="D46" s="14"/>
      <c r="E46" s="14"/>
      <c r="F46" s="14"/>
      <c r="G46" s="14"/>
      <c r="H46" s="14"/>
      <c r="I46" s="14"/>
      <c r="J46" s="14"/>
    </row>
    <row r="47" spans="1:10" ht="13">
      <c r="A47" s="572"/>
      <c r="B47" s="44" t="s">
        <v>378</v>
      </c>
      <c r="C47" s="14"/>
      <c r="D47" s="14"/>
      <c r="E47" s="14"/>
      <c r="F47" s="14"/>
      <c r="G47" s="14"/>
      <c r="H47" s="14"/>
      <c r="I47" s="14"/>
      <c r="J47" s="14"/>
    </row>
    <row r="48" spans="1:10" ht="13">
      <c r="A48" s="572"/>
      <c r="B48" s="478" t="s">
        <v>379</v>
      </c>
      <c r="C48" s="14"/>
      <c r="D48" s="14"/>
      <c r="E48" s="14"/>
      <c r="F48" s="14"/>
      <c r="G48" s="14"/>
      <c r="H48" s="14"/>
      <c r="I48" s="14"/>
      <c r="J48" s="14"/>
    </row>
    <row r="49" spans="1:10" ht="13">
      <c r="A49" s="572"/>
      <c r="B49" s="475" t="s">
        <v>1690</v>
      </c>
      <c r="C49" s="14"/>
      <c r="D49" s="14"/>
      <c r="E49" s="14"/>
      <c r="F49" s="14"/>
      <c r="G49" s="14"/>
      <c r="H49" s="14"/>
      <c r="I49" s="14"/>
      <c r="J49" s="14"/>
    </row>
    <row r="50" spans="1:10" ht="13">
      <c r="A50" s="572"/>
      <c r="B50" s="475" t="s">
        <v>1691</v>
      </c>
      <c r="C50" s="14"/>
      <c r="D50" s="14"/>
      <c r="E50" s="14"/>
      <c r="F50" s="14"/>
      <c r="G50" s="14"/>
      <c r="H50" s="14"/>
      <c r="I50" s="14"/>
      <c r="J50" s="14"/>
    </row>
    <row r="51" spans="1:10" ht="13">
      <c r="A51" s="572"/>
      <c r="B51" s="475" t="s">
        <v>384</v>
      </c>
      <c r="C51" s="14"/>
      <c r="D51" s="14"/>
      <c r="E51" s="14"/>
      <c r="F51" s="14"/>
      <c r="G51" s="14"/>
      <c r="H51" s="14"/>
      <c r="I51" s="14"/>
      <c r="J51" s="14"/>
    </row>
    <row r="52" spans="1:10" ht="13">
      <c r="A52" s="572"/>
      <c r="B52" s="475" t="s">
        <v>385</v>
      </c>
      <c r="C52" s="14"/>
      <c r="D52" s="14"/>
      <c r="E52" s="14"/>
      <c r="F52" s="14"/>
      <c r="G52" s="14"/>
      <c r="H52" s="14"/>
      <c r="I52" s="14"/>
      <c r="J52" s="14"/>
    </row>
    <row r="53" spans="1:10">
      <c r="B53" s="475" t="s">
        <v>382</v>
      </c>
      <c r="C53" s="14"/>
      <c r="D53" s="14"/>
      <c r="E53" s="14"/>
      <c r="F53" s="14"/>
      <c r="G53" s="14"/>
      <c r="H53" s="14"/>
      <c r="I53" s="14"/>
      <c r="J53" s="14"/>
    </row>
    <row r="54" spans="1:10">
      <c r="B54" s="925" t="s">
        <v>508</v>
      </c>
      <c r="C54" s="14"/>
      <c r="D54" s="14"/>
      <c r="E54" s="14"/>
      <c r="F54" s="14"/>
      <c r="G54" s="14"/>
      <c r="H54" s="14"/>
      <c r="I54" s="14"/>
      <c r="J54" s="14"/>
    </row>
    <row r="55" spans="1:10">
      <c r="B55" s="478" t="s">
        <v>383</v>
      </c>
      <c r="C55" s="14"/>
      <c r="D55" s="14"/>
      <c r="E55" s="14"/>
      <c r="F55" s="14"/>
      <c r="G55" s="14"/>
      <c r="H55" s="14"/>
      <c r="I55" s="14"/>
      <c r="J55" s="14"/>
    </row>
    <row r="56" spans="1:10">
      <c r="B56" s="478" t="s">
        <v>2299</v>
      </c>
      <c r="C56" s="14"/>
      <c r="D56" s="14"/>
      <c r="E56" s="14"/>
      <c r="F56" s="14"/>
      <c r="G56" s="14"/>
      <c r="H56" s="14"/>
      <c r="I56" s="14"/>
      <c r="J56" s="14"/>
    </row>
  </sheetData>
  <pageMargins left="0.7" right="0.7" top="0.75" bottom="0.75" header="0.3" footer="0.3"/>
  <pageSetup scale="80" orientation="portrait" cellComments="asDisplayed" r:id="rId1"/>
  <headerFooter>
    <oddHeader>&amp;CSchedule 12
Abandoned Plant
&amp;RTO2021 Annual Update
Attachment 5
TO2018 True Up TRR</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6</v>
      </c>
    </row>
    <row r="2" spans="1:7">
      <c r="F2" s="43" t="s">
        <v>17</v>
      </c>
    </row>
    <row r="3" spans="1:7" ht="13">
      <c r="B3" s="1" t="s">
        <v>159</v>
      </c>
    </row>
    <row r="4" spans="1:7">
      <c r="C4" s="12" t="s">
        <v>552</v>
      </c>
      <c r="E4" s="18"/>
      <c r="F4" s="28"/>
      <c r="G4" s="27"/>
    </row>
    <row r="5" spans="1:7">
      <c r="C5" s="12" t="s">
        <v>553</v>
      </c>
      <c r="E5" s="18"/>
      <c r="F5" s="28"/>
      <c r="G5" s="27"/>
    </row>
    <row r="6" spans="1:7" ht="13">
      <c r="E6" s="18"/>
      <c r="F6" s="74"/>
      <c r="G6" s="27"/>
    </row>
    <row r="7" spans="1:7" ht="13">
      <c r="C7" s="21"/>
      <c r="D7" s="17"/>
      <c r="E7" s="26" t="s">
        <v>194</v>
      </c>
      <c r="F7" s="26" t="s">
        <v>1675</v>
      </c>
      <c r="G7" s="26"/>
    </row>
    <row r="8" spans="1:7" ht="13">
      <c r="A8" s="53" t="s">
        <v>320</v>
      </c>
      <c r="C8" s="25" t="s">
        <v>192</v>
      </c>
      <c r="D8" s="25" t="s">
        <v>193</v>
      </c>
      <c r="E8" s="25" t="s">
        <v>179</v>
      </c>
      <c r="F8" s="31" t="s">
        <v>1674</v>
      </c>
      <c r="G8" s="29" t="s">
        <v>168</v>
      </c>
    </row>
    <row r="9" spans="1:7" ht="13">
      <c r="A9" s="2">
        <v>1</v>
      </c>
      <c r="C9" s="19" t="s">
        <v>180</v>
      </c>
      <c r="D9" s="146">
        <v>2018</v>
      </c>
      <c r="E9" s="30" t="s">
        <v>551</v>
      </c>
      <c r="F9" s="1165">
        <v>279666024</v>
      </c>
      <c r="G9" s="30" t="s">
        <v>85</v>
      </c>
    </row>
    <row r="10" spans="1:7" ht="13">
      <c r="A10" s="109">
        <f>A9+1</f>
        <v>2</v>
      </c>
      <c r="B10" s="14"/>
      <c r="C10" s="875" t="s">
        <v>181</v>
      </c>
      <c r="D10" s="146">
        <v>2019</v>
      </c>
      <c r="E10" s="513" t="s">
        <v>33</v>
      </c>
      <c r="F10" s="509">
        <v>287094260.75999999</v>
      </c>
      <c r="G10" s="30"/>
    </row>
    <row r="11" spans="1:7" ht="13">
      <c r="A11" s="109">
        <f t="shared" ref="A11:A21" si="0">A10+1</f>
        <v>3</v>
      </c>
      <c r="B11" s="14"/>
      <c r="C11" s="875" t="s">
        <v>182</v>
      </c>
      <c r="D11" s="146">
        <v>2019</v>
      </c>
      <c r="E11" s="513" t="s">
        <v>33</v>
      </c>
      <c r="F11" s="509">
        <v>296286300.36000001</v>
      </c>
      <c r="G11" s="30"/>
    </row>
    <row r="12" spans="1:7" ht="13">
      <c r="A12" s="109">
        <f t="shared" si="0"/>
        <v>4</v>
      </c>
      <c r="B12" s="14"/>
      <c r="C12" s="875" t="s">
        <v>195</v>
      </c>
      <c r="D12" s="146">
        <v>2019</v>
      </c>
      <c r="E12" s="513" t="s">
        <v>33</v>
      </c>
      <c r="F12" s="509">
        <v>311184634.44</v>
      </c>
      <c r="G12" s="30"/>
    </row>
    <row r="13" spans="1:7" ht="13">
      <c r="A13" s="109">
        <f t="shared" si="0"/>
        <v>5</v>
      </c>
      <c r="B13" s="14"/>
      <c r="C13" s="875" t="s">
        <v>183</v>
      </c>
      <c r="D13" s="146">
        <v>2019</v>
      </c>
      <c r="E13" s="513" t="s">
        <v>33</v>
      </c>
      <c r="F13" s="509">
        <v>316589656.36000001</v>
      </c>
      <c r="G13" s="30"/>
    </row>
    <row r="14" spans="1:7" ht="13">
      <c r="A14" s="109">
        <f t="shared" si="0"/>
        <v>6</v>
      </c>
      <c r="B14" s="14"/>
      <c r="C14" s="875" t="s">
        <v>184</v>
      </c>
      <c r="D14" s="146">
        <v>2019</v>
      </c>
      <c r="E14" s="513" t="s">
        <v>33</v>
      </c>
      <c r="F14" s="509">
        <v>322621401.64999998</v>
      </c>
      <c r="G14" s="30"/>
    </row>
    <row r="15" spans="1:7" ht="13">
      <c r="A15" s="109">
        <f t="shared" si="0"/>
        <v>7</v>
      </c>
      <c r="B15" s="14"/>
      <c r="C15" s="875" t="s">
        <v>1464</v>
      </c>
      <c r="D15" s="146">
        <v>2019</v>
      </c>
      <c r="E15" s="513" t="s">
        <v>33</v>
      </c>
      <c r="F15" s="509">
        <v>329816733.02999997</v>
      </c>
      <c r="G15" s="30"/>
    </row>
    <row r="16" spans="1:7" ht="13">
      <c r="A16" s="109">
        <f t="shared" si="0"/>
        <v>8</v>
      </c>
      <c r="B16" s="14"/>
      <c r="C16" s="875" t="s">
        <v>186</v>
      </c>
      <c r="D16" s="146">
        <v>2019</v>
      </c>
      <c r="E16" s="513" t="s">
        <v>33</v>
      </c>
      <c r="F16" s="509">
        <v>339429303.07999998</v>
      </c>
      <c r="G16" s="30"/>
    </row>
    <row r="17" spans="1:7" ht="13">
      <c r="A17" s="109">
        <f t="shared" si="0"/>
        <v>9</v>
      </c>
      <c r="B17" s="14"/>
      <c r="C17" s="875" t="s">
        <v>187</v>
      </c>
      <c r="D17" s="146">
        <v>2019</v>
      </c>
      <c r="E17" s="513" t="s">
        <v>33</v>
      </c>
      <c r="F17" s="509">
        <v>347268726.69</v>
      </c>
      <c r="G17" s="30"/>
    </row>
    <row r="18" spans="1:7" ht="13">
      <c r="A18" s="109">
        <f t="shared" si="0"/>
        <v>10</v>
      </c>
      <c r="B18" s="14"/>
      <c r="C18" s="875" t="s">
        <v>188</v>
      </c>
      <c r="D18" s="146">
        <v>2019</v>
      </c>
      <c r="E18" s="513" t="s">
        <v>33</v>
      </c>
      <c r="F18" s="509">
        <v>347908191.67000002</v>
      </c>
      <c r="G18" s="30"/>
    </row>
    <row r="19" spans="1:7" ht="13">
      <c r="A19" s="109">
        <f t="shared" si="0"/>
        <v>11</v>
      </c>
      <c r="B19" s="14"/>
      <c r="C19" s="875" t="s">
        <v>191</v>
      </c>
      <c r="D19" s="146">
        <v>2019</v>
      </c>
      <c r="E19" s="513" t="s">
        <v>33</v>
      </c>
      <c r="F19" s="509">
        <v>353413366.31999999</v>
      </c>
      <c r="G19" s="30"/>
    </row>
    <row r="20" spans="1:7" ht="13">
      <c r="A20" s="109">
        <f t="shared" si="0"/>
        <v>12</v>
      </c>
      <c r="B20" s="14"/>
      <c r="C20" s="875" t="s">
        <v>190</v>
      </c>
      <c r="D20" s="146">
        <v>2019</v>
      </c>
      <c r="E20" s="513" t="s">
        <v>33</v>
      </c>
      <c r="F20" s="509">
        <v>357723185.70999998</v>
      </c>
      <c r="G20" s="30"/>
    </row>
    <row r="21" spans="1:7" ht="13">
      <c r="A21" s="109">
        <f t="shared" si="0"/>
        <v>13</v>
      </c>
      <c r="B21" s="14"/>
      <c r="C21" s="21" t="s">
        <v>180</v>
      </c>
      <c r="D21" s="146">
        <v>2019</v>
      </c>
      <c r="E21" s="30" t="s">
        <v>550</v>
      </c>
      <c r="F21" s="1165">
        <v>361868594</v>
      </c>
      <c r="G21" s="16" t="s">
        <v>89</v>
      </c>
    </row>
    <row r="22" spans="1:7" ht="13">
      <c r="A22" s="14"/>
      <c r="B22" s="14"/>
      <c r="C22" s="22"/>
      <c r="D22" s="22"/>
      <c r="E22" s="18"/>
      <c r="G22" s="30"/>
    </row>
    <row r="23" spans="1:7" ht="13">
      <c r="A23" s="109">
        <f>A21+1</f>
        <v>14</v>
      </c>
      <c r="B23" s="14"/>
      <c r="C23" s="22"/>
      <c r="D23" s="22"/>
      <c r="E23" s="511" t="s">
        <v>1824</v>
      </c>
      <c r="F23" s="33">
        <f>SUM(F9:F21)/13</f>
        <v>326990029.08230776</v>
      </c>
      <c r="G23" s="112" t="str">
        <f>"(Sum Line "&amp;A9&amp;" to Line "&amp;A21&amp;") / 13"</f>
        <v>(Sum Line 1 to Line 13) / 13</v>
      </c>
    </row>
    <row r="24" spans="1:7" ht="13">
      <c r="A24" s="109">
        <f>A23+1</f>
        <v>15</v>
      </c>
      <c r="B24" s="14"/>
      <c r="C24" s="22"/>
      <c r="D24" s="22"/>
      <c r="E24" s="34" t="s">
        <v>310</v>
      </c>
      <c r="F24" s="107">
        <f>'27-Allocators'!G10</f>
        <v>6.5693761162178274E-2</v>
      </c>
      <c r="G24" s="112" t="str">
        <f>"27-Allocators, Line "&amp;'27-Allocators'!A10&amp;""</f>
        <v>27-Allocators, Line 5</v>
      </c>
    </row>
    <row r="25" spans="1:7" ht="13">
      <c r="A25" s="14"/>
      <c r="B25" s="14"/>
      <c r="C25" s="14"/>
      <c r="D25" s="22"/>
      <c r="E25" s="34"/>
      <c r="F25" s="33"/>
      <c r="G25" s="16"/>
    </row>
    <row r="26" spans="1:7" ht="13">
      <c r="A26" s="109">
        <f>A24+1</f>
        <v>16</v>
      </c>
      <c r="B26" s="14"/>
      <c r="C26" s="22" t="s">
        <v>91</v>
      </c>
      <c r="D26" s="22"/>
      <c r="E26" s="363" t="s">
        <v>156</v>
      </c>
      <c r="F26" s="33">
        <f>F21*F24</f>
        <v>23772508.986329257</v>
      </c>
      <c r="G26" s="13" t="str">
        <f>"Line "&amp;A21&amp;" * Line "&amp;A24&amp;""</f>
        <v>Line 13 * Line 15</v>
      </c>
    </row>
    <row r="27" spans="1:7" ht="13">
      <c r="A27" s="109">
        <f>A26+1</f>
        <v>17</v>
      </c>
      <c r="B27" s="14"/>
      <c r="C27" s="22"/>
      <c r="D27" s="22"/>
      <c r="E27" s="511" t="s">
        <v>1825</v>
      </c>
      <c r="F27" s="33">
        <f>F23*F24</f>
        <v>21481204.872946855</v>
      </c>
      <c r="G27" s="13" t="str">
        <f>"Line "&amp;A23&amp;" * Line "&amp;A24&amp;""</f>
        <v>Line 14 * Line 15</v>
      </c>
    </row>
    <row r="28" spans="1:7">
      <c r="A28" s="14"/>
      <c r="B28" s="14"/>
      <c r="C28" s="14"/>
      <c r="D28" s="14"/>
      <c r="E28" s="14"/>
      <c r="F28" s="14"/>
    </row>
    <row r="29" spans="1:7" ht="13">
      <c r="A29" s="14"/>
      <c r="B29" s="44" t="s">
        <v>158</v>
      </c>
      <c r="C29" s="14"/>
      <c r="D29" s="14"/>
      <c r="E29" s="14"/>
      <c r="F29" s="14"/>
    </row>
    <row r="30" spans="1:7">
      <c r="A30" s="14"/>
      <c r="B30" s="14"/>
      <c r="C30" s="14" t="s">
        <v>7</v>
      </c>
      <c r="D30" s="14"/>
      <c r="E30" s="520"/>
      <c r="F30" s="28"/>
      <c r="G30" s="27"/>
    </row>
    <row r="31" spans="1:7">
      <c r="A31" s="14"/>
      <c r="B31" s="14"/>
      <c r="C31" s="14" t="s">
        <v>1764</v>
      </c>
      <c r="D31" s="14"/>
      <c r="E31" s="520"/>
      <c r="F31" s="28"/>
      <c r="G31" s="27"/>
    </row>
    <row r="32" spans="1:7" ht="13">
      <c r="C32" s="21"/>
      <c r="D32" s="17"/>
      <c r="E32" s="26" t="s">
        <v>194</v>
      </c>
      <c r="F32" s="74" t="s">
        <v>242</v>
      </c>
      <c r="G32" s="26"/>
    </row>
    <row r="33" spans="1:11" ht="13">
      <c r="C33" s="25" t="s">
        <v>192</v>
      </c>
      <c r="D33" s="25" t="s">
        <v>193</v>
      </c>
      <c r="E33" s="25" t="s">
        <v>179</v>
      </c>
      <c r="F33" s="31" t="s">
        <v>2</v>
      </c>
      <c r="G33" s="29" t="s">
        <v>168</v>
      </c>
    </row>
    <row r="34" spans="1:11" ht="13">
      <c r="A34" s="109">
        <f>A27+1</f>
        <v>18</v>
      </c>
      <c r="B34" s="14"/>
      <c r="C34" s="287" t="s">
        <v>180</v>
      </c>
      <c r="D34" s="146">
        <v>2018</v>
      </c>
      <c r="E34" s="1154" t="s">
        <v>2309</v>
      </c>
      <c r="F34" s="63">
        <f>F63</f>
        <v>144353946</v>
      </c>
      <c r="G34" s="1154" t="s">
        <v>2307</v>
      </c>
    </row>
    <row r="35" spans="1:11" ht="13">
      <c r="A35" s="109">
        <f>A34+1</f>
        <v>19</v>
      </c>
      <c r="B35" s="14"/>
      <c r="C35" s="875" t="s">
        <v>181</v>
      </c>
      <c r="D35" s="146">
        <v>2019</v>
      </c>
      <c r="E35" s="513" t="s">
        <v>33</v>
      </c>
      <c r="F35" s="509">
        <v>131590729.73</v>
      </c>
      <c r="G35" s="1154"/>
      <c r="J35" s="7"/>
      <c r="K35" s="7"/>
    </row>
    <row r="36" spans="1:11" ht="13">
      <c r="A36" s="109">
        <f t="shared" ref="A36:A46" si="1">A35+1</f>
        <v>20</v>
      </c>
      <c r="B36" s="14"/>
      <c r="C36" s="875" t="s">
        <v>182</v>
      </c>
      <c r="D36" s="146">
        <v>2019</v>
      </c>
      <c r="E36" s="513" t="s">
        <v>33</v>
      </c>
      <c r="F36" s="509">
        <v>501725113.97000003</v>
      </c>
      <c r="G36" s="1154"/>
      <c r="J36" s="7"/>
      <c r="K36" s="7"/>
    </row>
    <row r="37" spans="1:11" ht="13">
      <c r="A37" s="109">
        <f t="shared" si="1"/>
        <v>21</v>
      </c>
      <c r="B37" s="14"/>
      <c r="C37" s="875" t="s">
        <v>195</v>
      </c>
      <c r="D37" s="146">
        <v>2019</v>
      </c>
      <c r="E37" s="513" t="s">
        <v>33</v>
      </c>
      <c r="F37" s="509">
        <v>464295674.31999999</v>
      </c>
      <c r="G37" s="1154"/>
      <c r="J37" s="7"/>
      <c r="K37" s="7"/>
    </row>
    <row r="38" spans="1:11" ht="13">
      <c r="A38" s="109">
        <f t="shared" si="1"/>
        <v>22</v>
      </c>
      <c r="B38" s="14"/>
      <c r="C38" s="875" t="s">
        <v>183</v>
      </c>
      <c r="D38" s="146">
        <v>2019</v>
      </c>
      <c r="E38" s="513" t="s">
        <v>33</v>
      </c>
      <c r="F38" s="509">
        <v>492962961.94</v>
      </c>
      <c r="G38" s="1154"/>
      <c r="J38" s="7"/>
      <c r="K38" s="7"/>
    </row>
    <row r="39" spans="1:11" ht="13">
      <c r="A39" s="109">
        <f t="shared" si="1"/>
        <v>23</v>
      </c>
      <c r="B39" s="14"/>
      <c r="C39" s="875" t="s">
        <v>184</v>
      </c>
      <c r="D39" s="146">
        <v>2019</v>
      </c>
      <c r="E39" s="513" t="s">
        <v>33</v>
      </c>
      <c r="F39" s="509">
        <v>432862954.31</v>
      </c>
      <c r="G39" s="1154"/>
      <c r="J39" s="7"/>
      <c r="K39" s="7"/>
    </row>
    <row r="40" spans="1:11" ht="13">
      <c r="A40" s="109">
        <f t="shared" si="1"/>
        <v>24</v>
      </c>
      <c r="B40" s="14"/>
      <c r="C40" s="875" t="s">
        <v>1464</v>
      </c>
      <c r="D40" s="146">
        <v>2019</v>
      </c>
      <c r="E40" s="513" t="s">
        <v>33</v>
      </c>
      <c r="F40" s="509">
        <v>405911649.62</v>
      </c>
      <c r="G40" s="1154"/>
      <c r="J40" s="7"/>
      <c r="K40" s="7"/>
    </row>
    <row r="41" spans="1:11" ht="13">
      <c r="A41" s="109">
        <f t="shared" si="1"/>
        <v>25</v>
      </c>
      <c r="B41" s="14"/>
      <c r="C41" s="875" t="s">
        <v>186</v>
      </c>
      <c r="D41" s="146">
        <v>2019</v>
      </c>
      <c r="E41" s="513" t="s">
        <v>33</v>
      </c>
      <c r="F41" s="509">
        <v>249318154.72999999</v>
      </c>
      <c r="G41" s="1154"/>
      <c r="J41" s="7"/>
      <c r="K41" s="7"/>
    </row>
    <row r="42" spans="1:11" ht="13">
      <c r="A42" s="109">
        <f t="shared" si="1"/>
        <v>26</v>
      </c>
      <c r="B42" s="14"/>
      <c r="C42" s="875" t="s">
        <v>187</v>
      </c>
      <c r="D42" s="146">
        <v>2019</v>
      </c>
      <c r="E42" s="513" t="s">
        <v>33</v>
      </c>
      <c r="F42" s="509">
        <v>338061291.32999998</v>
      </c>
      <c r="G42" s="1154"/>
      <c r="J42" s="7"/>
      <c r="K42" s="7"/>
    </row>
    <row r="43" spans="1:11" ht="13">
      <c r="A43" s="109">
        <f t="shared" si="1"/>
        <v>27</v>
      </c>
      <c r="B43" s="14"/>
      <c r="C43" s="875" t="s">
        <v>188</v>
      </c>
      <c r="D43" s="146">
        <v>2019</v>
      </c>
      <c r="E43" s="513" t="s">
        <v>33</v>
      </c>
      <c r="F43" s="509">
        <v>291690760.95999998</v>
      </c>
      <c r="G43" s="1154"/>
      <c r="J43" s="7"/>
      <c r="K43" s="7"/>
    </row>
    <row r="44" spans="1:11" ht="13">
      <c r="A44" s="109">
        <f t="shared" si="1"/>
        <v>28</v>
      </c>
      <c r="B44" s="14"/>
      <c r="C44" s="875" t="s">
        <v>191</v>
      </c>
      <c r="D44" s="146">
        <v>2019</v>
      </c>
      <c r="E44" s="513" t="s">
        <v>33</v>
      </c>
      <c r="F44" s="509">
        <v>264462155.12</v>
      </c>
      <c r="G44" s="1154"/>
      <c r="J44" s="7"/>
      <c r="K44" s="7"/>
    </row>
    <row r="45" spans="1:11" ht="13">
      <c r="A45" s="109">
        <f t="shared" si="1"/>
        <v>29</v>
      </c>
      <c r="B45" s="14"/>
      <c r="C45" s="875" t="s">
        <v>190</v>
      </c>
      <c r="D45" s="146">
        <v>2019</v>
      </c>
      <c r="E45" s="513" t="s">
        <v>33</v>
      </c>
      <c r="F45" s="115">
        <v>282717020.18000001</v>
      </c>
      <c r="G45" s="1154"/>
      <c r="J45" s="7"/>
      <c r="K45" s="7"/>
    </row>
    <row r="46" spans="1:11" ht="13">
      <c r="A46" s="109">
        <f t="shared" si="1"/>
        <v>30</v>
      </c>
      <c r="B46" s="14"/>
      <c r="C46" s="21" t="s">
        <v>180</v>
      </c>
      <c r="D46" s="146">
        <v>2019</v>
      </c>
      <c r="E46" s="1154" t="s">
        <v>2310</v>
      </c>
      <c r="F46" s="63">
        <f>F69</f>
        <v>213194393</v>
      </c>
      <c r="G46" s="1154" t="s">
        <v>2308</v>
      </c>
    </row>
    <row r="47" spans="1:11">
      <c r="A47" s="14"/>
      <c r="B47" s="14"/>
      <c r="C47" s="21"/>
      <c r="D47" s="24"/>
      <c r="E47" s="23"/>
      <c r="F47" s="33"/>
      <c r="G47" s="16"/>
    </row>
    <row r="48" spans="1:11" ht="13">
      <c r="A48" s="14"/>
      <c r="B48" s="14"/>
      <c r="C48" s="639" t="s">
        <v>1762</v>
      </c>
      <c r="D48" s="639"/>
      <c r="E48" s="946"/>
      <c r="F48" s="14"/>
      <c r="G48" s="30"/>
    </row>
    <row r="49" spans="1:8" ht="13">
      <c r="A49" s="109">
        <f>A46+1</f>
        <v>31</v>
      </c>
      <c r="B49" s="14"/>
      <c r="C49" s="22"/>
      <c r="D49" s="22"/>
      <c r="E49" s="677" t="s">
        <v>1763</v>
      </c>
      <c r="F49" s="33">
        <f>SUM(F34:F46)/13</f>
        <v>324088215.7853846</v>
      </c>
      <c r="G49" s="112" t="str">
        <f>"(Sum Line "&amp;A34&amp;" to Line "&amp;A46&amp;") / 13"</f>
        <v>(Sum Line 18 to Line 30) / 13</v>
      </c>
    </row>
    <row r="50" spans="1:8" ht="13">
      <c r="A50" s="109">
        <f>A49+1</f>
        <v>32</v>
      </c>
      <c r="B50" s="14"/>
      <c r="C50" s="22"/>
      <c r="D50" s="22"/>
      <c r="E50" s="34" t="s">
        <v>310</v>
      </c>
      <c r="F50" s="36">
        <f>'27-Allocators'!G10</f>
        <v>6.5693761162178274E-2</v>
      </c>
      <c r="G50" s="112" t="str">
        <f>"27-Allocators, Line "&amp;'27-Allocators'!A10&amp;""</f>
        <v>27-Allocators, Line 5</v>
      </c>
    </row>
    <row r="51" spans="1:8" ht="13">
      <c r="A51" s="109">
        <f>A50+1</f>
        <v>33</v>
      </c>
      <c r="B51" s="14"/>
      <c r="C51" s="22"/>
      <c r="D51" s="22"/>
      <c r="E51" s="947" t="s">
        <v>162</v>
      </c>
      <c r="F51" s="33">
        <f>F49*F50</f>
        <v>21290573.843281552</v>
      </c>
      <c r="G51" s="46" t="str">
        <f>"Line "&amp;A49&amp;" * Line "&amp;A50&amp;""</f>
        <v>Line 31 * Line 32</v>
      </c>
    </row>
    <row r="52" spans="1:8" ht="13">
      <c r="A52" s="14"/>
      <c r="B52" s="14"/>
      <c r="C52" s="22" t="s">
        <v>241</v>
      </c>
      <c r="D52" s="22"/>
      <c r="E52" s="520"/>
      <c r="F52" s="14"/>
      <c r="G52" s="35"/>
    </row>
    <row r="53" spans="1:8" ht="13">
      <c r="A53" s="109">
        <f>A51+1</f>
        <v>34</v>
      </c>
      <c r="B53" s="14"/>
      <c r="C53" s="22"/>
      <c r="D53" s="22"/>
      <c r="E53" s="34" t="s">
        <v>156</v>
      </c>
      <c r="F53" s="33">
        <f>F46</f>
        <v>213194393</v>
      </c>
      <c r="G53" s="35" t="str">
        <f>"Line "&amp;A46&amp;""</f>
        <v>Line 30</v>
      </c>
    </row>
    <row r="54" spans="1:8" ht="13">
      <c r="A54" s="109">
        <f>A53+1</f>
        <v>35</v>
      </c>
      <c r="B54" s="14"/>
      <c r="C54" s="22"/>
      <c r="D54" s="22"/>
      <c r="E54" s="34" t="s">
        <v>310</v>
      </c>
      <c r="F54" s="36">
        <f>'27-Allocators'!G10</f>
        <v>6.5693761162178274E-2</v>
      </c>
      <c r="G54" s="112" t="str">
        <f>"27-Allocators, Line "&amp;'27-Allocators'!A10&amp;""</f>
        <v>27-Allocators, Line 5</v>
      </c>
    </row>
    <row r="55" spans="1:8" ht="13">
      <c r="A55" s="109">
        <f>A54+1</f>
        <v>36</v>
      </c>
      <c r="B55" s="14"/>
      <c r="C55" s="22"/>
      <c r="D55" s="22"/>
      <c r="E55" s="32" t="s">
        <v>162</v>
      </c>
      <c r="F55" s="33">
        <f>F53*F54</f>
        <v>14005541.534857571</v>
      </c>
      <c r="G55" s="13" t="str">
        <f>"Line "&amp;A53&amp;" * Line "&amp;A54&amp;""</f>
        <v>Line 34 * Line 35</v>
      </c>
    </row>
    <row r="56" spans="1:8" ht="13">
      <c r="B56" s="51" t="s">
        <v>230</v>
      </c>
      <c r="C56" s="478"/>
      <c r="D56" s="476"/>
      <c r="E56" s="478"/>
      <c r="F56" s="476"/>
      <c r="G56" s="476"/>
    </row>
    <row r="57" spans="1:8">
      <c r="B57" s="476" t="s">
        <v>2311</v>
      </c>
      <c r="C57" s="478" t="str">
        <f>"Remove any amounts related to years prior to 2012 on "&amp;B62&amp;" and "&amp;B68&amp;" below."</f>
        <v>Remove any amounts related to years prior to 2012 on b and e below.</v>
      </c>
      <c r="D57" s="476"/>
      <c r="E57" s="478"/>
      <c r="F57" s="476"/>
      <c r="G57" s="476"/>
    </row>
    <row r="58" spans="1:8" ht="13">
      <c r="A58" s="2"/>
      <c r="B58" s="476"/>
      <c r="C58" s="478"/>
      <c r="D58" s="476"/>
      <c r="E58" s="918"/>
      <c r="F58" s="483"/>
      <c r="G58" s="480"/>
      <c r="H58" s="1"/>
    </row>
    <row r="59" spans="1:8" ht="13">
      <c r="A59" s="2"/>
      <c r="B59" s="476"/>
      <c r="C59" s="478" t="s">
        <v>2312</v>
      </c>
      <c r="D59" s="476"/>
      <c r="E59" s="918"/>
      <c r="F59" s="1155" t="s">
        <v>92</v>
      </c>
      <c r="G59" s="475"/>
    </row>
    <row r="60" spans="1:8" ht="13">
      <c r="A60" s="2"/>
      <c r="B60" s="476"/>
      <c r="C60" s="478"/>
      <c r="D60" s="476"/>
      <c r="E60" s="918"/>
      <c r="F60" s="643" t="s">
        <v>2</v>
      </c>
      <c r="G60" s="387" t="s">
        <v>179</v>
      </c>
    </row>
    <row r="61" spans="1:8" ht="13">
      <c r="A61" s="570"/>
      <c r="B61" s="572" t="s">
        <v>1678</v>
      </c>
      <c r="C61" s="1156"/>
      <c r="D61" s="476"/>
      <c r="E61" s="918" t="s">
        <v>2313</v>
      </c>
      <c r="F61" s="1165">
        <v>144353946</v>
      </c>
      <c r="G61" s="1154" t="s">
        <v>160</v>
      </c>
    </row>
    <row r="62" spans="1:8" ht="13">
      <c r="A62" s="570"/>
      <c r="B62" s="572" t="s">
        <v>1679</v>
      </c>
      <c r="C62" s="478"/>
      <c r="D62" s="476"/>
      <c r="E62" s="918" t="s">
        <v>2314</v>
      </c>
      <c r="F62" s="115">
        <v>0</v>
      </c>
      <c r="G62" s="480" t="s">
        <v>360</v>
      </c>
    </row>
    <row r="63" spans="1:8" ht="13">
      <c r="A63" s="570"/>
      <c r="B63" s="572" t="s">
        <v>1680</v>
      </c>
      <c r="C63" s="478"/>
      <c r="D63" s="476"/>
      <c r="E63" s="918" t="s">
        <v>2315</v>
      </c>
      <c r="F63" s="1157">
        <f>F61-F62</f>
        <v>144353946</v>
      </c>
      <c r="G63" s="480" t="str">
        <f>""&amp;B61&amp;" - "&amp;B62&amp;""</f>
        <v>a - b</v>
      </c>
    </row>
    <row r="64" spans="1:8" ht="13">
      <c r="A64" s="570"/>
      <c r="B64" s="476"/>
      <c r="C64" s="478"/>
      <c r="D64" s="476"/>
      <c r="E64" s="478"/>
      <c r="F64" s="476"/>
      <c r="G64" s="476"/>
    </row>
    <row r="65" spans="1:7" ht="13">
      <c r="A65" s="570"/>
      <c r="B65" s="476"/>
      <c r="C65" s="478" t="s">
        <v>2316</v>
      </c>
      <c r="D65" s="476"/>
      <c r="E65" s="918"/>
      <c r="F65" s="1155" t="s">
        <v>92</v>
      </c>
      <c r="G65" s="475"/>
    </row>
    <row r="66" spans="1:7" ht="13">
      <c r="A66" s="570"/>
      <c r="B66" s="476"/>
      <c r="C66" s="478"/>
      <c r="D66" s="476"/>
      <c r="E66" s="918"/>
      <c r="F66" s="643" t="s">
        <v>2</v>
      </c>
      <c r="G66" s="387" t="s">
        <v>179</v>
      </c>
    </row>
    <row r="67" spans="1:7" ht="13">
      <c r="A67" s="570"/>
      <c r="B67" s="572" t="s">
        <v>1681</v>
      </c>
      <c r="C67" s="1156"/>
      <c r="D67" s="476"/>
      <c r="E67" s="918" t="s">
        <v>2313</v>
      </c>
      <c r="F67" s="1165">
        <v>213194393</v>
      </c>
      <c r="G67" s="1154" t="s">
        <v>161</v>
      </c>
    </row>
    <row r="68" spans="1:7" ht="13">
      <c r="A68" s="570"/>
      <c r="B68" s="572" t="s">
        <v>1682</v>
      </c>
      <c r="C68" s="478"/>
      <c r="D68" s="476"/>
      <c r="E68" s="918" t="s">
        <v>2314</v>
      </c>
      <c r="F68" s="115">
        <v>0</v>
      </c>
      <c r="G68" s="480" t="s">
        <v>360</v>
      </c>
    </row>
    <row r="69" spans="1:7" ht="13">
      <c r="A69" s="570"/>
      <c r="B69" s="572" t="s">
        <v>1683</v>
      </c>
      <c r="C69" s="478"/>
      <c r="D69" s="478"/>
      <c r="E69" s="918" t="s">
        <v>2317</v>
      </c>
      <c r="F69" s="1157">
        <f>F67-F68</f>
        <v>213194393</v>
      </c>
      <c r="G69" s="480" t="str">
        <f>""&amp;B67&amp;" - "&amp;B68&amp;""</f>
        <v>d - e</v>
      </c>
    </row>
    <row r="73" spans="1:7">
      <c r="F73" s="571"/>
    </row>
  </sheetData>
  <phoneticPr fontId="23" type="noConversion"/>
  <pageMargins left="0.75" right="0.75" top="1" bottom="1" header="0.5" footer="0.5"/>
  <pageSetup scale="73" orientation="portrait" cellComments="asDisplayed" r:id="rId1"/>
  <headerFooter alignWithMargins="0">
    <oddHeader>&amp;CSchedule 13
Working Capital
&amp;RTO2021 Annual Update
Attachment 5
TO2018 True Up TRR</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18.54296875" customWidth="1"/>
    <col min="3" max="3" width="10.54296875" customWidth="1"/>
    <col min="4" max="4" width="66.54296875" customWidth="1"/>
  </cols>
  <sheetData>
    <row r="1" spans="1:4" ht="13">
      <c r="A1" s="1" t="s">
        <v>1129</v>
      </c>
      <c r="C1" s="1"/>
    </row>
    <row r="3" spans="1:4" ht="13">
      <c r="B3" s="3" t="s">
        <v>1130</v>
      </c>
      <c r="C3" s="3" t="s">
        <v>1198</v>
      </c>
      <c r="D3" s="387" t="s">
        <v>521</v>
      </c>
    </row>
    <row r="4" spans="1:4">
      <c r="B4" s="371" t="s">
        <v>1084</v>
      </c>
      <c r="C4" s="61"/>
      <c r="D4" s="12" t="s">
        <v>1132</v>
      </c>
    </row>
    <row r="5" spans="1:4">
      <c r="B5" s="591" t="s">
        <v>1131</v>
      </c>
      <c r="C5" s="61">
        <v>1</v>
      </c>
      <c r="D5" s="476" t="s">
        <v>2156</v>
      </c>
    </row>
    <row r="6" spans="1:4">
      <c r="B6" s="591" t="s">
        <v>1095</v>
      </c>
      <c r="C6" s="61">
        <v>2</v>
      </c>
      <c r="D6" s="12" t="s">
        <v>1139</v>
      </c>
    </row>
    <row r="7" spans="1:4">
      <c r="B7" s="591" t="s">
        <v>1096</v>
      </c>
      <c r="C7" s="61">
        <v>3</v>
      </c>
      <c r="D7" s="12" t="s">
        <v>1140</v>
      </c>
    </row>
    <row r="8" spans="1:4">
      <c r="B8" s="591" t="s">
        <v>1487</v>
      </c>
      <c r="C8" s="61">
        <v>4</v>
      </c>
      <c r="D8" s="476" t="s">
        <v>1488</v>
      </c>
    </row>
    <row r="9" spans="1:4">
      <c r="B9" s="591" t="s">
        <v>1085</v>
      </c>
      <c r="C9" s="61">
        <v>5</v>
      </c>
      <c r="D9" s="12" t="s">
        <v>1133</v>
      </c>
    </row>
    <row r="10" spans="1:4">
      <c r="B10" s="591" t="s">
        <v>1088</v>
      </c>
      <c r="C10" s="61">
        <v>6</v>
      </c>
      <c r="D10" s="12" t="s">
        <v>1136</v>
      </c>
    </row>
    <row r="11" spans="1:4">
      <c r="B11" s="591" t="s">
        <v>1089</v>
      </c>
      <c r="C11" s="61">
        <v>7</v>
      </c>
      <c r="D11" s="12" t="s">
        <v>1434</v>
      </c>
    </row>
    <row r="12" spans="1:4">
      <c r="B12" s="591" t="s">
        <v>1098</v>
      </c>
      <c r="C12" s="61">
        <v>8</v>
      </c>
      <c r="D12" s="12" t="s">
        <v>1141</v>
      </c>
    </row>
    <row r="13" spans="1:4">
      <c r="B13" s="591" t="s">
        <v>201</v>
      </c>
      <c r="C13" s="61">
        <v>9</v>
      </c>
      <c r="D13" s="12" t="s">
        <v>98</v>
      </c>
    </row>
    <row r="14" spans="1:4">
      <c r="B14" s="591" t="s">
        <v>1</v>
      </c>
      <c r="C14" s="61">
        <v>10</v>
      </c>
      <c r="D14" s="476" t="s">
        <v>2157</v>
      </c>
    </row>
    <row r="15" spans="1:4">
      <c r="B15" s="591" t="s">
        <v>1090</v>
      </c>
      <c r="C15" s="61">
        <v>11</v>
      </c>
      <c r="D15" s="12" t="s">
        <v>1184</v>
      </c>
    </row>
    <row r="16" spans="1:4">
      <c r="B16" s="591" t="s">
        <v>1091</v>
      </c>
      <c r="C16" s="61">
        <v>12</v>
      </c>
      <c r="D16" s="12" t="s">
        <v>1137</v>
      </c>
    </row>
    <row r="17" spans="2:4">
      <c r="B17" s="591" t="s">
        <v>1097</v>
      </c>
      <c r="C17" s="61">
        <v>13</v>
      </c>
      <c r="D17" s="12" t="s">
        <v>1151</v>
      </c>
    </row>
    <row r="18" spans="2:4">
      <c r="B18" s="591" t="s">
        <v>1092</v>
      </c>
      <c r="C18" s="61">
        <v>14</v>
      </c>
      <c r="D18" s="12" t="s">
        <v>1138</v>
      </c>
    </row>
    <row r="19" spans="2:4">
      <c r="B19" s="591" t="s">
        <v>1093</v>
      </c>
      <c r="C19" s="61">
        <v>15</v>
      </c>
      <c r="D19" s="476" t="s">
        <v>1686</v>
      </c>
    </row>
    <row r="20" spans="2:4">
      <c r="B20" s="591" t="s">
        <v>1094</v>
      </c>
      <c r="C20" s="61">
        <v>16</v>
      </c>
      <c r="D20" s="12" t="s">
        <v>1191</v>
      </c>
    </row>
    <row r="21" spans="2:4">
      <c r="B21" s="591" t="s">
        <v>1086</v>
      </c>
      <c r="C21" s="61">
        <v>17</v>
      </c>
      <c r="D21" s="12" t="s">
        <v>1134</v>
      </c>
    </row>
    <row r="22" spans="2:4">
      <c r="B22" s="591" t="s">
        <v>1087</v>
      </c>
      <c r="C22" s="61">
        <v>18</v>
      </c>
      <c r="D22" s="12" t="s">
        <v>1135</v>
      </c>
    </row>
    <row r="23" spans="2:4">
      <c r="B23" s="591" t="s">
        <v>1099</v>
      </c>
      <c r="C23" s="61">
        <v>19</v>
      </c>
      <c r="D23" s="12" t="s">
        <v>1142</v>
      </c>
    </row>
    <row r="24" spans="2:4">
      <c r="B24" s="591" t="s">
        <v>1100</v>
      </c>
      <c r="C24" s="61">
        <v>20</v>
      </c>
      <c r="D24" s="476" t="s">
        <v>280</v>
      </c>
    </row>
    <row r="25" spans="2:4">
      <c r="B25" s="591" t="s">
        <v>1108</v>
      </c>
      <c r="C25" s="61">
        <v>21</v>
      </c>
      <c r="D25" s="12" t="s">
        <v>1143</v>
      </c>
    </row>
    <row r="26" spans="2:4">
      <c r="B26" s="591" t="s">
        <v>1109</v>
      </c>
      <c r="C26" s="61">
        <v>22</v>
      </c>
      <c r="D26" s="12" t="s">
        <v>1190</v>
      </c>
    </row>
    <row r="27" spans="2:4">
      <c r="B27" s="591" t="s">
        <v>1110</v>
      </c>
      <c r="C27" s="61">
        <v>23</v>
      </c>
      <c r="D27" s="12" t="s">
        <v>1144</v>
      </c>
    </row>
    <row r="28" spans="2:4" ht="12.75" customHeight="1">
      <c r="B28" s="591" t="s">
        <v>1421</v>
      </c>
      <c r="C28" s="61">
        <v>24</v>
      </c>
      <c r="D28" s="12" t="s">
        <v>1422</v>
      </c>
    </row>
    <row r="29" spans="2:4">
      <c r="B29" s="591" t="s">
        <v>1362</v>
      </c>
      <c r="C29" s="61">
        <v>25</v>
      </c>
      <c r="D29" s="12" t="s">
        <v>1363</v>
      </c>
    </row>
    <row r="30" spans="2:4">
      <c r="B30" s="591" t="s">
        <v>1113</v>
      </c>
      <c r="C30" s="61">
        <v>26</v>
      </c>
      <c r="D30" s="12" t="s">
        <v>1145</v>
      </c>
    </row>
    <row r="31" spans="2:4">
      <c r="B31" s="591" t="s">
        <v>1112</v>
      </c>
      <c r="C31" s="61">
        <v>27</v>
      </c>
      <c r="D31" s="12" t="s">
        <v>202</v>
      </c>
    </row>
    <row r="32" spans="2:4">
      <c r="B32" s="591" t="s">
        <v>1111</v>
      </c>
      <c r="C32" s="61">
        <v>28</v>
      </c>
      <c r="D32" s="12" t="s">
        <v>1146</v>
      </c>
    </row>
    <row r="33" spans="2:4">
      <c r="B33" s="591" t="s">
        <v>1114</v>
      </c>
      <c r="C33" s="61">
        <v>29</v>
      </c>
      <c r="D33" s="12" t="s">
        <v>1147</v>
      </c>
    </row>
    <row r="34" spans="2:4">
      <c r="B34" s="591" t="s">
        <v>1115</v>
      </c>
      <c r="C34" s="61">
        <v>30</v>
      </c>
      <c r="D34" s="12" t="s">
        <v>1192</v>
      </c>
    </row>
    <row r="35" spans="2:4">
      <c r="B35" s="591" t="s">
        <v>1116</v>
      </c>
      <c r="C35" s="61">
        <v>31</v>
      </c>
      <c r="D35" s="12" t="s">
        <v>1148</v>
      </c>
    </row>
    <row r="36" spans="2:4">
      <c r="B36" s="591" t="s">
        <v>1117</v>
      </c>
      <c r="C36" s="61">
        <v>32</v>
      </c>
      <c r="D36" s="12" t="s">
        <v>1149</v>
      </c>
    </row>
    <row r="37" spans="2:4">
      <c r="B37" s="591" t="s">
        <v>1118</v>
      </c>
      <c r="C37" s="467">
        <v>33</v>
      </c>
      <c r="D37" s="12" t="s">
        <v>1150</v>
      </c>
    </row>
    <row r="38" spans="2:4">
      <c r="B38" s="591" t="s">
        <v>1963</v>
      </c>
      <c r="C38" s="915">
        <v>34</v>
      </c>
      <c r="D38" s="478" t="s">
        <v>1986</v>
      </c>
    </row>
    <row r="39" spans="2:4">
      <c r="B39" s="12"/>
    </row>
    <row r="40" spans="2:4">
      <c r="B40" s="12"/>
    </row>
    <row r="41" spans="2:4">
      <c r="B41" s="12"/>
    </row>
    <row r="42" spans="2:4">
      <c r="B42" s="12"/>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Print_Area" display="Unfunded Reserves" xr:uid="{00000000-0004-0000-0100-000022000000}"/>
  </hyperlinks>
  <pageMargins left="0.7" right="0.7" top="0.75" bottom="0.75" header="0.3" footer="0.3"/>
  <pageSetup scale="90" orientation="portrait" cellComments="asDisplayed" r:id="rId1"/>
  <headerFooter>
    <oddHeader>&amp;RTO2021 Annual Update
Attachment 5
TO2018 True Up TRR</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396"/>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244</v>
      </c>
    </row>
    <row r="2" spans="1:10" ht="13">
      <c r="A2" s="1" t="s">
        <v>245</v>
      </c>
    </row>
    <row r="3" spans="1:10" ht="13">
      <c r="B3" s="1"/>
      <c r="H3" s="185" t="s">
        <v>246</v>
      </c>
      <c r="I3" s="95"/>
      <c r="J3" s="56"/>
    </row>
    <row r="4" spans="1:10" ht="13">
      <c r="B4" s="1" t="s">
        <v>247</v>
      </c>
    </row>
    <row r="5" spans="1:10" ht="13">
      <c r="B5" s="55" t="s">
        <v>248</v>
      </c>
    </row>
    <row r="6" spans="1:10" ht="13">
      <c r="B6" s="55" t="s">
        <v>298</v>
      </c>
    </row>
    <row r="7" spans="1:10" ht="13">
      <c r="B7" s="101" t="s">
        <v>997</v>
      </c>
    </row>
    <row r="8" spans="1:10" ht="13">
      <c r="B8" s="101" t="s">
        <v>1489</v>
      </c>
    </row>
    <row r="9" spans="1:10" ht="13">
      <c r="B9" s="101" t="s">
        <v>1490</v>
      </c>
      <c r="D9" s="1"/>
      <c r="E9" s="1"/>
    </row>
    <row r="10" spans="1:10" ht="13">
      <c r="B10" s="55"/>
    </row>
    <row r="11" spans="1:10" ht="13">
      <c r="B11" s="55"/>
      <c r="C11" s="12" t="s">
        <v>356</v>
      </c>
    </row>
    <row r="12" spans="1:10" ht="13">
      <c r="B12" s="55"/>
      <c r="C12" s="480" t="s">
        <v>1492</v>
      </c>
    </row>
    <row r="13" spans="1:10" ht="13">
      <c r="B13" s="55"/>
      <c r="C13" s="475" t="s">
        <v>1777</v>
      </c>
      <c r="D13" s="14"/>
      <c r="E13" s="14"/>
      <c r="F13" s="14"/>
      <c r="G13" s="14"/>
      <c r="H13" s="14"/>
      <c r="I13" s="14"/>
    </row>
    <row r="14" spans="1:10" ht="13">
      <c r="B14" s="55"/>
      <c r="C14" s="475" t="s">
        <v>1493</v>
      </c>
      <c r="D14" s="14"/>
      <c r="E14" s="14"/>
      <c r="F14" s="14"/>
      <c r="G14" s="14"/>
      <c r="H14" s="14"/>
      <c r="I14" s="14"/>
    </row>
    <row r="15" spans="1:10" ht="13">
      <c r="B15" s="55"/>
      <c r="C15" s="921" t="s">
        <v>1494</v>
      </c>
      <c r="D15" s="14"/>
      <c r="E15" s="14"/>
      <c r="F15" s="14"/>
      <c r="G15" s="14"/>
      <c r="H15" s="14"/>
      <c r="I15" s="14"/>
    </row>
    <row r="16" spans="1:10" ht="13">
      <c r="B16" s="55"/>
      <c r="C16" s="475" t="s">
        <v>1496</v>
      </c>
      <c r="D16" s="14"/>
      <c r="E16" s="14"/>
      <c r="F16" s="14"/>
      <c r="G16" s="14"/>
      <c r="H16" s="14"/>
      <c r="I16" s="14"/>
    </row>
    <row r="17" spans="1:10" ht="13">
      <c r="B17" s="55"/>
      <c r="C17" s="475" t="s">
        <v>1495</v>
      </c>
      <c r="D17" s="14"/>
      <c r="E17" s="14"/>
      <c r="F17" s="14"/>
      <c r="G17" s="14"/>
      <c r="H17" s="14"/>
      <c r="I17" s="14"/>
    </row>
    <row r="18" spans="1:10" ht="13">
      <c r="B18" s="55"/>
      <c r="C18" s="46"/>
      <c r="D18" s="14"/>
      <c r="E18" s="14"/>
      <c r="F18" s="14"/>
      <c r="G18" s="14"/>
      <c r="H18" s="14"/>
      <c r="I18" s="14"/>
    </row>
    <row r="19" spans="1:10" ht="13">
      <c r="C19" s="44" t="s">
        <v>996</v>
      </c>
      <c r="D19" s="14"/>
      <c r="E19" s="14"/>
      <c r="F19" s="14"/>
      <c r="G19" s="14"/>
      <c r="H19" s="14"/>
      <c r="I19" s="14"/>
    </row>
    <row r="20" spans="1:10" ht="13">
      <c r="C20" s="44"/>
      <c r="D20" s="14"/>
      <c r="E20" s="123" t="s">
        <v>359</v>
      </c>
      <c r="F20" s="123" t="s">
        <v>343</v>
      </c>
      <c r="G20" s="123" t="s">
        <v>344</v>
      </c>
      <c r="H20" s="14"/>
      <c r="I20" s="14"/>
    </row>
    <row r="21" spans="1:10" ht="13">
      <c r="B21" s="1"/>
      <c r="C21" s="14"/>
      <c r="D21" s="14"/>
      <c r="E21" s="14"/>
      <c r="F21" s="109" t="s">
        <v>63</v>
      </c>
      <c r="G21" s="109" t="s">
        <v>18</v>
      </c>
      <c r="H21" s="14"/>
      <c r="I21" s="14"/>
    </row>
    <row r="22" spans="1:10" ht="13">
      <c r="B22" s="1"/>
      <c r="C22" s="14"/>
      <c r="D22" s="14"/>
      <c r="E22" s="109" t="s">
        <v>63</v>
      </c>
      <c r="F22" s="930" t="s">
        <v>228</v>
      </c>
      <c r="G22" s="109" t="s">
        <v>297</v>
      </c>
      <c r="H22" s="14"/>
      <c r="I22" s="14"/>
    </row>
    <row r="23" spans="1:10" ht="13">
      <c r="B23" s="1"/>
      <c r="C23" s="15"/>
      <c r="D23" s="14"/>
      <c r="E23" s="109" t="s">
        <v>227</v>
      </c>
      <c r="F23" s="109" t="s">
        <v>229</v>
      </c>
      <c r="G23" s="109" t="s">
        <v>1</v>
      </c>
      <c r="H23" s="14"/>
      <c r="I23" s="14"/>
    </row>
    <row r="24" spans="1:10" ht="13">
      <c r="B24" s="1"/>
      <c r="C24" s="109" t="s">
        <v>8</v>
      </c>
      <c r="D24" s="14"/>
      <c r="E24" s="109" t="s">
        <v>240</v>
      </c>
      <c r="F24" s="109" t="s">
        <v>240</v>
      </c>
      <c r="G24" s="930" t="s">
        <v>10</v>
      </c>
      <c r="H24" s="14"/>
      <c r="I24" s="14"/>
    </row>
    <row r="25" spans="1:10" ht="13">
      <c r="A25" s="51" t="s">
        <v>330</v>
      </c>
      <c r="B25" s="1"/>
      <c r="C25" s="123" t="s">
        <v>224</v>
      </c>
      <c r="D25" s="14"/>
      <c r="E25" s="123" t="s">
        <v>175</v>
      </c>
      <c r="F25" s="123" t="s">
        <v>175</v>
      </c>
      <c r="G25" s="123" t="s">
        <v>175</v>
      </c>
      <c r="H25" s="123" t="s">
        <v>230</v>
      </c>
      <c r="I25" s="108"/>
      <c r="J25" s="50"/>
    </row>
    <row r="26" spans="1:10" ht="13">
      <c r="A26" s="2">
        <v>1</v>
      </c>
      <c r="B26" s="1"/>
      <c r="C26" s="15" t="s">
        <v>337</v>
      </c>
      <c r="D26" s="14"/>
      <c r="E26" s="63">
        <f>'10-CWIP'!E25</f>
        <v>157682.99</v>
      </c>
      <c r="F26" s="63">
        <f>'10-CWIP'!E26</f>
        <v>156779.51307692306</v>
      </c>
      <c r="G26" s="63">
        <f>'10-CWIP'!K113</f>
        <v>-157682.99000000002</v>
      </c>
      <c r="H26" s="46" t="str">
        <f>"10-CWIP Lines "&amp;'10-CWIP'!A25&amp;", "&amp;'10-CWIP'!A26&amp;", and "&amp;'10-CWIP'!A113&amp;""</f>
        <v>10-CWIP Lines 13, 14, and 80</v>
      </c>
      <c r="I26" s="14"/>
    </row>
    <row r="27" spans="1:10" ht="13">
      <c r="A27" s="2">
        <f t="shared" ref="A27:A37" si="0">A26+1</f>
        <v>2</v>
      </c>
      <c r="B27" s="1"/>
      <c r="C27" s="15" t="s">
        <v>338</v>
      </c>
      <c r="D27" s="14"/>
      <c r="E27" s="63">
        <f>'10-CWIP'!F25</f>
        <v>0</v>
      </c>
      <c r="F27" s="63">
        <f>'10-CWIP'!F26</f>
        <v>0</v>
      </c>
      <c r="G27" s="63">
        <f>'10-CWIP'!K146</f>
        <v>0</v>
      </c>
      <c r="H27" s="46" t="str">
        <f>"10-CWIP Lines "&amp;'10-CWIP'!A25&amp;", "&amp;'10-CWIP'!A26&amp;", and "&amp;'10-CWIP'!A146&amp;""</f>
        <v>10-CWIP Lines 13, 14, and 106</v>
      </c>
      <c r="I27" s="14"/>
    </row>
    <row r="28" spans="1:10" ht="13">
      <c r="A28" s="2">
        <f t="shared" si="0"/>
        <v>3</v>
      </c>
      <c r="B28" s="1"/>
      <c r="C28" s="478" t="s">
        <v>2342</v>
      </c>
      <c r="D28" s="14"/>
      <c r="E28" s="63">
        <f>'10-CWIP'!G25</f>
        <v>5584199.04</v>
      </c>
      <c r="F28" s="63">
        <f>'10-CWIP'!G26</f>
        <v>5454201.1723076934</v>
      </c>
      <c r="G28" s="63">
        <f>'10-CWIP'!K177</f>
        <v>21500</v>
      </c>
      <c r="H28" s="46" t="str">
        <f>"10-CWIP Lines "&amp;'10-CWIP'!A25&amp;", "&amp;'10-CWIP'!A26&amp;", and "&amp;'10-CWIP'!A177&amp;""</f>
        <v>10-CWIP Lines 13, 14, and 132</v>
      </c>
      <c r="I28" s="14"/>
    </row>
    <row r="29" spans="1:10" ht="13">
      <c r="A29" s="2">
        <f t="shared" si="0"/>
        <v>4</v>
      </c>
      <c r="B29" s="1"/>
      <c r="C29" s="478" t="s">
        <v>2343</v>
      </c>
      <c r="D29" s="14"/>
      <c r="E29" s="63">
        <f>'10-CWIP'!H25</f>
        <v>468121962.68000001</v>
      </c>
      <c r="F29" s="63">
        <f>'10-CWIP'!H26</f>
        <v>355612330.7961539</v>
      </c>
      <c r="G29" s="63">
        <f>'10-CWIP'!K210</f>
        <v>-419183167.20692325</v>
      </c>
      <c r="H29" s="46" t="str">
        <f>"10-CWIP Lines "&amp;'10-CWIP'!A25&amp;", "&amp;'10-CWIP'!A26&amp;", and "&amp;'10-CWIP'!A210&amp;""</f>
        <v>10-CWIP Lines 13, 14, and 158</v>
      </c>
      <c r="I29" s="14"/>
    </row>
    <row r="30" spans="1:10" ht="13">
      <c r="A30" s="2">
        <f t="shared" si="0"/>
        <v>5</v>
      </c>
      <c r="B30" s="1"/>
      <c r="C30" s="15" t="s">
        <v>1002</v>
      </c>
      <c r="D30" s="14"/>
      <c r="E30" s="63">
        <f>'10-CWIP'!I25</f>
        <v>0</v>
      </c>
      <c r="F30" s="63">
        <f>'10-CWIP'!I26</f>
        <v>0</v>
      </c>
      <c r="G30" s="63">
        <f>'10-CWIP'!K241</f>
        <v>0</v>
      </c>
      <c r="H30" s="46" t="str">
        <f>"10-CWIP Lines "&amp;'10-CWIP'!A25&amp;", "&amp;'10-CWIP'!A26&amp;", and "&amp;'10-CWIP'!A241&amp;""</f>
        <v>10-CWIP Lines 13, 14, and 184</v>
      </c>
      <c r="I30" s="14"/>
    </row>
    <row r="31" spans="1:10" ht="13">
      <c r="A31" s="2">
        <f t="shared" si="0"/>
        <v>6</v>
      </c>
      <c r="B31" s="1"/>
      <c r="C31" s="15" t="s">
        <v>1003</v>
      </c>
      <c r="D31" s="14"/>
      <c r="E31" s="63">
        <f>'10-CWIP'!D45</f>
        <v>0</v>
      </c>
      <c r="F31" s="63">
        <f>'10-CWIP'!D46</f>
        <v>0</v>
      </c>
      <c r="G31" s="63">
        <f>'10-CWIP'!K274</f>
        <v>0</v>
      </c>
      <c r="H31" s="46" t="str">
        <f>"10-CWIP Lines "&amp;'10-CWIP'!A45&amp;", "&amp;'10-CWIP'!A46&amp;", and "&amp;'10-CWIP'!A274&amp;""</f>
        <v>10-CWIP Lines 27, 28, and 210</v>
      </c>
      <c r="I31" s="14"/>
    </row>
    <row r="32" spans="1:10" ht="13">
      <c r="A32" s="2">
        <f t="shared" si="0"/>
        <v>7</v>
      </c>
      <c r="B32" s="1"/>
      <c r="C32" s="15" t="s">
        <v>1004</v>
      </c>
      <c r="D32" s="14"/>
      <c r="E32" s="63">
        <f>'10-CWIP'!E45</f>
        <v>301246.76</v>
      </c>
      <c r="F32" s="63">
        <f>'10-CWIP'!E46</f>
        <v>88742.059230769228</v>
      </c>
      <c r="G32" s="63">
        <f>'10-CWIP'!K305</f>
        <v>4760153.9834615383</v>
      </c>
      <c r="H32" s="46" t="str">
        <f>"10-CWIP Lines "&amp;'10-CWIP'!A45&amp;", "&amp;'10-CWIP'!A46&amp;", and "&amp;'10-CWIP'!A305&amp;""</f>
        <v>10-CWIP Lines 27, 28, and 236</v>
      </c>
      <c r="I32" s="14"/>
    </row>
    <row r="33" spans="1:10" ht="13">
      <c r="A33" s="2">
        <f t="shared" si="0"/>
        <v>8</v>
      </c>
      <c r="B33" s="1"/>
      <c r="C33" s="478" t="s">
        <v>2452</v>
      </c>
      <c r="D33" s="14"/>
      <c r="E33" s="63">
        <f>'10-CWIP'!F45</f>
        <v>49854942.909999996</v>
      </c>
      <c r="F33" s="63">
        <f>'10-CWIP'!F46</f>
        <v>144167446.39643878</v>
      </c>
      <c r="G33" s="63">
        <f>'10-CWIP'!K338</f>
        <v>50282477.689230785</v>
      </c>
      <c r="H33" s="46" t="str">
        <f>"10-CWIP Lines "&amp;'10-CWIP'!A45&amp;", "&amp;'10-CWIP'!A46&amp;", and "&amp;'10-CWIP'!A338&amp;""</f>
        <v>10-CWIP Lines 27, 28, and 262</v>
      </c>
      <c r="I33" s="14"/>
    </row>
    <row r="34" spans="1:10" ht="13">
      <c r="A34" s="2">
        <f t="shared" si="0"/>
        <v>9</v>
      </c>
      <c r="B34" s="1"/>
      <c r="C34" s="478" t="s">
        <v>2453</v>
      </c>
      <c r="D34" s="14"/>
      <c r="E34" s="63">
        <f>'10-CWIP'!G45</f>
        <v>22001340.420866624</v>
      </c>
      <c r="F34" s="63">
        <f>'10-CWIP'!G46</f>
        <v>21080305.460128166</v>
      </c>
      <c r="G34" s="63">
        <f>'10-CWIP'!K369</f>
        <v>831534.66580000147</v>
      </c>
      <c r="H34" s="46" t="str">
        <f>"10-CWIP Lines "&amp;'10-CWIP'!A45&amp;", "&amp;'10-CWIP'!A46&amp;", and "&amp;'10-CWIP'!A369&amp;""</f>
        <v>10-CWIP Lines 27, 28, and 288</v>
      </c>
      <c r="I34" s="14"/>
    </row>
    <row r="35" spans="1:10" ht="13">
      <c r="A35" s="2">
        <f t="shared" si="0"/>
        <v>10</v>
      </c>
      <c r="B35" s="1"/>
      <c r="C35" s="478" t="s">
        <v>2454</v>
      </c>
      <c r="E35" s="63">
        <f>'10-CWIP'!H45</f>
        <v>101741830.36564952</v>
      </c>
      <c r="F35" s="63">
        <f>'10-CWIP'!H46</f>
        <v>75625383.694111049</v>
      </c>
      <c r="G35" s="63">
        <f>'10-CWIP'!K402</f>
        <v>-8452843.9330769163</v>
      </c>
      <c r="H35" s="46" t="str">
        <f>"10-CWIP Lines "&amp;'10-CWIP'!A45&amp;", "&amp;'10-CWIP'!A46&amp;", and "&amp;'10-CWIP'!A402&amp;""</f>
        <v>10-CWIP Lines 27, 28, and 314</v>
      </c>
      <c r="I35" s="14"/>
      <c r="J35" s="14"/>
    </row>
    <row r="36" spans="1:10" ht="13">
      <c r="A36" s="2">
        <f t="shared" si="0"/>
        <v>11</v>
      </c>
      <c r="B36" s="1"/>
      <c r="C36" s="541" t="s">
        <v>506</v>
      </c>
      <c r="E36" s="1380" t="s">
        <v>76</v>
      </c>
      <c r="F36" s="1380" t="s">
        <v>76</v>
      </c>
      <c r="G36" s="191" t="s">
        <v>76</v>
      </c>
      <c r="H36" s="541" t="s">
        <v>506</v>
      </c>
    </row>
    <row r="37" spans="1:10" ht="13">
      <c r="A37" s="2">
        <f t="shared" si="0"/>
        <v>12</v>
      </c>
      <c r="B37" s="1"/>
      <c r="D37" s="37" t="s">
        <v>197</v>
      </c>
      <c r="E37" s="63">
        <f>SUM(E26:E35)</f>
        <v>647763205.16651607</v>
      </c>
      <c r="F37" s="63">
        <f>SUM(F26:F35)</f>
        <v>602185189.09144735</v>
      </c>
      <c r="G37" s="7">
        <f>SUM(G26:G35)</f>
        <v>-371898027.79150784</v>
      </c>
      <c r="H37" s="52"/>
    </row>
    <row r="38" spans="1:10" ht="13">
      <c r="B38" s="1"/>
    </row>
    <row r="39" spans="1:10" ht="13">
      <c r="B39" s="1"/>
      <c r="C39" s="1" t="s">
        <v>1245</v>
      </c>
    </row>
    <row r="40" spans="1:10" ht="13">
      <c r="B40" s="1"/>
      <c r="C40" s="1"/>
    </row>
    <row r="41" spans="1:10" ht="13">
      <c r="B41" s="1"/>
      <c r="E41" s="3" t="s">
        <v>359</v>
      </c>
      <c r="F41" s="3" t="s">
        <v>343</v>
      </c>
      <c r="G41" s="3" t="s">
        <v>344</v>
      </c>
    </row>
    <row r="42" spans="1:10" ht="13">
      <c r="B42" s="1"/>
      <c r="E42" s="485" t="s">
        <v>1467</v>
      </c>
      <c r="F42" s="3"/>
      <c r="G42" s="3"/>
    </row>
    <row r="43" spans="1:10" ht="13">
      <c r="B43" s="1"/>
      <c r="E43" s="2" t="s">
        <v>63</v>
      </c>
      <c r="F43" s="2" t="s">
        <v>300</v>
      </c>
      <c r="G43" s="2" t="s">
        <v>300</v>
      </c>
    </row>
    <row r="44" spans="1:10" ht="13">
      <c r="B44" s="1"/>
      <c r="E44" s="2" t="s">
        <v>8</v>
      </c>
      <c r="F44" s="2" t="s">
        <v>1</v>
      </c>
      <c r="G44" s="2" t="s">
        <v>299</v>
      </c>
    </row>
    <row r="45" spans="1:10" ht="13">
      <c r="B45" s="1"/>
      <c r="E45" s="3" t="s">
        <v>173</v>
      </c>
      <c r="F45" s="3" t="s">
        <v>249</v>
      </c>
      <c r="G45" s="3" t="s">
        <v>3</v>
      </c>
      <c r="H45" s="3" t="s">
        <v>230</v>
      </c>
    </row>
    <row r="46" spans="1:10" ht="13">
      <c r="A46" s="2">
        <f>A37+1</f>
        <v>13</v>
      </c>
      <c r="B46" s="1"/>
      <c r="C46" t="s">
        <v>225</v>
      </c>
      <c r="E46" s="99">
        <f>F46+G46</f>
        <v>140675231.43613446</v>
      </c>
      <c r="F46" s="63">
        <v>0</v>
      </c>
      <c r="G46" s="63">
        <f>H84</f>
        <v>140675231.43613446</v>
      </c>
      <c r="H46" s="13" t="str">
        <f>"Line "&amp;A84&amp;", C4"</f>
        <v>Line 37, C4</v>
      </c>
    </row>
    <row r="47" spans="1:10" ht="13">
      <c r="A47" s="2">
        <f>A46+1</f>
        <v>14</v>
      </c>
      <c r="B47" s="1"/>
      <c r="C47" t="s">
        <v>226</v>
      </c>
      <c r="E47" s="99">
        <f>F47+G47</f>
        <v>2592594066.0880814</v>
      </c>
      <c r="F47" s="63">
        <f>E26</f>
        <v>157682.99</v>
      </c>
      <c r="G47" s="63">
        <f>F84</f>
        <v>2592436383.0980816</v>
      </c>
      <c r="H47" s="13" t="str">
        <f>"Line "&amp;A26&amp;", C1, and Line "&amp;A84&amp;", C2"</f>
        <v>Line 1, C1, and Line 37, C2</v>
      </c>
    </row>
    <row r="48" spans="1:10" ht="13">
      <c r="A48" s="2">
        <f>A47+1</f>
        <v>15</v>
      </c>
      <c r="B48" s="1"/>
      <c r="C48" s="476" t="s">
        <v>1653</v>
      </c>
      <c r="E48" s="99">
        <f>F48+G48</f>
        <v>649167356.36563158</v>
      </c>
      <c r="F48" s="63">
        <f>E27</f>
        <v>0</v>
      </c>
      <c r="G48" s="63">
        <f>G84</f>
        <v>649167356.36563158</v>
      </c>
      <c r="H48" s="13" t="str">
        <f>"Line "&amp;A27&amp;", C1, and Line "&amp;A84&amp;", C3"</f>
        <v>Line 2, C1, and Line 37, C3</v>
      </c>
    </row>
    <row r="49" spans="1:8" ht="13">
      <c r="A49" s="2">
        <f>A48+1</f>
        <v>16</v>
      </c>
      <c r="B49" s="1"/>
      <c r="C49" s="541" t="s">
        <v>506</v>
      </c>
      <c r="E49" s="94" t="s">
        <v>76</v>
      </c>
      <c r="F49" s="94" t="s">
        <v>76</v>
      </c>
      <c r="G49" s="94" t="s">
        <v>76</v>
      </c>
      <c r="H49" s="541" t="s">
        <v>506</v>
      </c>
    </row>
    <row r="50" spans="1:8" ht="13">
      <c r="A50" s="2">
        <f>A49+1</f>
        <v>17</v>
      </c>
      <c r="B50" s="1"/>
      <c r="C50" s="186"/>
      <c r="E50" s="94"/>
      <c r="F50" s="94"/>
      <c r="G50" s="94"/>
      <c r="H50" s="13"/>
    </row>
    <row r="51" spans="1:8" ht="13">
      <c r="A51" s="2">
        <f>A50+1</f>
        <v>18</v>
      </c>
      <c r="B51" s="1"/>
      <c r="D51" s="474" t="s">
        <v>1657</v>
      </c>
      <c r="E51" s="7">
        <f>SUM(E46:E48)</f>
        <v>3382436653.8898473</v>
      </c>
      <c r="F51" s="94"/>
      <c r="G51" s="94"/>
      <c r="H51" s="480" t="s">
        <v>1658</v>
      </c>
    </row>
    <row r="52" spans="1:8" ht="13">
      <c r="B52" s="1"/>
    </row>
    <row r="53" spans="1:8" ht="13">
      <c r="B53" s="1"/>
      <c r="C53" s="1" t="s">
        <v>1491</v>
      </c>
    </row>
    <row r="54" spans="1:8" ht="13">
      <c r="B54" s="1"/>
      <c r="C54" s="1"/>
    </row>
    <row r="55" spans="1:8" ht="13">
      <c r="B55" s="1"/>
      <c r="C55" s="1"/>
      <c r="E55" s="3" t="s">
        <v>359</v>
      </c>
      <c r="F55" s="3" t="s">
        <v>343</v>
      </c>
      <c r="G55" s="3" t="s">
        <v>344</v>
      </c>
    </row>
    <row r="56" spans="1:8" ht="13">
      <c r="B56" s="1"/>
      <c r="E56" s="485" t="s">
        <v>1467</v>
      </c>
      <c r="G56" s="2" t="s">
        <v>10</v>
      </c>
    </row>
    <row r="57" spans="1:8" ht="13">
      <c r="B57" s="1"/>
      <c r="E57" s="2" t="s">
        <v>63</v>
      </c>
      <c r="F57" s="2" t="s">
        <v>10</v>
      </c>
      <c r="G57" s="2" t="s">
        <v>299</v>
      </c>
    </row>
    <row r="58" spans="1:8" ht="13">
      <c r="B58" s="1"/>
      <c r="C58" s="2" t="s">
        <v>8</v>
      </c>
      <c r="E58" s="2" t="s">
        <v>8</v>
      </c>
      <c r="F58" s="2" t="s">
        <v>1</v>
      </c>
      <c r="G58" s="2" t="s">
        <v>3</v>
      </c>
    </row>
    <row r="59" spans="1:8" ht="12.75" customHeight="1">
      <c r="B59" s="1"/>
      <c r="C59" s="3" t="s">
        <v>224</v>
      </c>
      <c r="E59" s="3" t="s">
        <v>173</v>
      </c>
      <c r="F59" s="3" t="s">
        <v>249</v>
      </c>
      <c r="G59" s="3" t="s">
        <v>249</v>
      </c>
      <c r="H59" s="3" t="s">
        <v>230</v>
      </c>
    </row>
    <row r="60" spans="1:8" ht="13">
      <c r="A60" s="2">
        <f>A51+1</f>
        <v>19</v>
      </c>
      <c r="B60" s="1"/>
      <c r="C60" t="s">
        <v>225</v>
      </c>
      <c r="E60" s="99">
        <f>F60+G60</f>
        <v>143115066.53896901</v>
      </c>
      <c r="F60" s="63">
        <v>0</v>
      </c>
      <c r="G60" s="102">
        <f>H85</f>
        <v>143115066.53896901</v>
      </c>
      <c r="H60" s="13" t="str">
        <f>"Line "&amp;A85&amp;", C4"</f>
        <v>Line 38, C4</v>
      </c>
    </row>
    <row r="61" spans="1:8" ht="13">
      <c r="A61" s="2">
        <f>A60+1</f>
        <v>20</v>
      </c>
      <c r="B61" s="1"/>
      <c r="C61" t="s">
        <v>226</v>
      </c>
      <c r="E61" s="99">
        <f>F61+G61</f>
        <v>2626937258.942555</v>
      </c>
      <c r="F61" s="63">
        <f>F26</f>
        <v>156779.51307692306</v>
      </c>
      <c r="G61" s="102">
        <f>F85</f>
        <v>2626780479.4294782</v>
      </c>
      <c r="H61" s="13" t="str">
        <f>"Line "&amp;A26&amp;", C2, and Line "&amp;A85&amp;", C2"</f>
        <v>Line 1, C2, and Line 38, C2</v>
      </c>
    </row>
    <row r="62" spans="1:8" ht="13">
      <c r="A62" s="2">
        <f>A61+1</f>
        <v>21</v>
      </c>
      <c r="B62" s="1"/>
      <c r="C62" s="12" t="s">
        <v>542</v>
      </c>
      <c r="E62" s="99">
        <f>F62+G62</f>
        <v>659274150.85827935</v>
      </c>
      <c r="F62" s="63">
        <f>F27</f>
        <v>0</v>
      </c>
      <c r="G62" s="102">
        <f>G85</f>
        <v>659274150.85827935</v>
      </c>
      <c r="H62" s="13" t="str">
        <f>"Line "&amp;A27&amp;", C2, and Line "&amp;A85&amp;", C3"</f>
        <v>Line 2, C2, and Line 38, C3</v>
      </c>
    </row>
    <row r="63" spans="1:8" ht="13">
      <c r="A63" s="2">
        <f>A62+1</f>
        <v>22</v>
      </c>
      <c r="B63" s="1"/>
      <c r="C63" s="541" t="s">
        <v>506</v>
      </c>
      <c r="E63" s="94" t="s">
        <v>76</v>
      </c>
      <c r="F63" s="94" t="s">
        <v>76</v>
      </c>
      <c r="G63" s="94" t="s">
        <v>76</v>
      </c>
      <c r="H63" s="541" t="s">
        <v>506</v>
      </c>
    </row>
    <row r="64" spans="1:8" ht="13">
      <c r="A64" s="2">
        <f>A63+1</f>
        <v>23</v>
      </c>
      <c r="B64" s="1"/>
      <c r="C64" s="186"/>
      <c r="E64" s="94"/>
      <c r="F64" s="94"/>
      <c r="G64" s="94"/>
      <c r="H64" s="13"/>
    </row>
    <row r="65" spans="1:11" ht="13">
      <c r="A65" s="2">
        <f>A64+1</f>
        <v>24</v>
      </c>
      <c r="B65" s="1"/>
      <c r="D65" s="474" t="s">
        <v>1657</v>
      </c>
      <c r="E65" s="7">
        <f>SUM(E60:E62)</f>
        <v>3429326476.3398032</v>
      </c>
      <c r="H65" s="560" t="s">
        <v>1659</v>
      </c>
    </row>
    <row r="66" spans="1:11" ht="13">
      <c r="A66" s="521"/>
      <c r="B66" s="1"/>
      <c r="D66" s="92"/>
      <c r="E66" s="7"/>
    </row>
    <row r="67" spans="1:11" ht="13">
      <c r="C67" s="1" t="s">
        <v>1005</v>
      </c>
    </row>
    <row r="68" spans="1:11" ht="13">
      <c r="E68" s="84" t="s">
        <v>359</v>
      </c>
      <c r="F68" s="84" t="s">
        <v>343</v>
      </c>
      <c r="G68" s="84" t="s">
        <v>344</v>
      </c>
      <c r="H68" s="84" t="s">
        <v>345</v>
      </c>
      <c r="I68" s="84" t="s">
        <v>346</v>
      </c>
      <c r="J68" s="84"/>
    </row>
    <row r="69" spans="1:11" ht="13">
      <c r="C69" s="2" t="s">
        <v>531</v>
      </c>
      <c r="E69" s="2" t="s">
        <v>534</v>
      </c>
      <c r="F69" s="915" t="str">
        <f>"L "&amp;A117&amp;" to L "&amp;A129&amp;", C3"</f>
        <v>L 53 to L 65, C3</v>
      </c>
      <c r="G69" s="915" t="str">
        <f>"L "&amp;A157&amp;" to L "&amp;A169&amp;", C3"</f>
        <v>L 79 to L 91, C3</v>
      </c>
      <c r="H69" s="915" t="str">
        <f>"L "&amp;A137&amp;" to L "&amp;A149&amp;", C3"</f>
        <v>L 66 to L 78, C3</v>
      </c>
      <c r="I69" s="95"/>
      <c r="K69" s="2"/>
    </row>
    <row r="70" spans="1:11" ht="13">
      <c r="C70" s="2" t="s">
        <v>193</v>
      </c>
      <c r="E70" s="2" t="s">
        <v>535</v>
      </c>
      <c r="F70" s="14"/>
      <c r="G70" s="109" t="s">
        <v>341</v>
      </c>
      <c r="H70" s="109" t="s">
        <v>532</v>
      </c>
      <c r="I70" s="187"/>
      <c r="J70" s="362"/>
      <c r="K70" s="2"/>
    </row>
    <row r="71" spans="1:11" ht="13">
      <c r="A71" s="51"/>
      <c r="C71" s="25" t="s">
        <v>192</v>
      </c>
      <c r="D71" s="25" t="s">
        <v>193</v>
      </c>
      <c r="E71" s="3" t="s">
        <v>3</v>
      </c>
      <c r="F71" s="123" t="s">
        <v>223</v>
      </c>
      <c r="G71" s="123" t="s">
        <v>342</v>
      </c>
      <c r="H71" s="123" t="s">
        <v>533</v>
      </c>
      <c r="I71" s="188"/>
      <c r="J71" s="3" t="s">
        <v>168</v>
      </c>
    </row>
    <row r="72" spans="1:11" ht="13">
      <c r="A72" s="2">
        <f>A65+1</f>
        <v>25</v>
      </c>
      <c r="C72" s="20" t="s">
        <v>180</v>
      </c>
      <c r="D72" s="1166">
        <v>2018</v>
      </c>
      <c r="E72" s="59">
        <f>SUM(F72:H72)</f>
        <v>3477624362.2668252</v>
      </c>
      <c r="F72" s="948">
        <f>G117</f>
        <v>2662966447.3435092</v>
      </c>
      <c r="G72" s="948">
        <f>G157</f>
        <v>669164921.1930002</v>
      </c>
      <c r="H72" s="948">
        <f>G137</f>
        <v>145492993.73031563</v>
      </c>
      <c r="I72" s="362" t="s">
        <v>76</v>
      </c>
      <c r="J72" s="50" t="s">
        <v>1009</v>
      </c>
    </row>
    <row r="73" spans="1:11" ht="13">
      <c r="A73" s="2">
        <f>A72+1</f>
        <v>26</v>
      </c>
      <c r="C73" s="20" t="s">
        <v>181</v>
      </c>
      <c r="D73" s="632">
        <v>2019</v>
      </c>
      <c r="E73" s="59">
        <f t="shared" ref="E73:E84" si="1">SUM(F73:H73)</f>
        <v>3469310859.5161786</v>
      </c>
      <c r="F73" s="948">
        <f t="shared" ref="F73:F84" si="2">G118</f>
        <v>2656691924.6386752</v>
      </c>
      <c r="G73" s="948">
        <f t="shared" ref="G73:G84" si="3">G158</f>
        <v>667520861.90064168</v>
      </c>
      <c r="H73" s="948">
        <f t="shared" ref="H73:H84" si="4">G138</f>
        <v>145098072.97686136</v>
      </c>
      <c r="I73" s="362" t="s">
        <v>76</v>
      </c>
      <c r="J73" s="13" t="s">
        <v>1008</v>
      </c>
    </row>
    <row r="74" spans="1:11" ht="13">
      <c r="A74" s="2">
        <f t="shared" ref="A74:A85" si="5">A73+1</f>
        <v>27</v>
      </c>
      <c r="C74" s="21" t="s">
        <v>182</v>
      </c>
      <c r="D74" s="632">
        <v>2019</v>
      </c>
      <c r="E74" s="59">
        <f t="shared" si="1"/>
        <v>3461300769.0523143</v>
      </c>
      <c r="F74" s="948">
        <f t="shared" si="2"/>
        <v>2650720814.220624</v>
      </c>
      <c r="G74" s="948">
        <f t="shared" si="3"/>
        <v>665876802.60828316</v>
      </c>
      <c r="H74" s="948">
        <f t="shared" si="4"/>
        <v>144703152.22340712</v>
      </c>
      <c r="I74" s="362" t="s">
        <v>76</v>
      </c>
      <c r="J74" s="362" t="s">
        <v>1007</v>
      </c>
      <c r="K74" s="2"/>
    </row>
    <row r="75" spans="1:11" ht="13">
      <c r="A75" s="2">
        <f t="shared" si="5"/>
        <v>28</v>
      </c>
      <c r="C75" s="21" t="s">
        <v>195</v>
      </c>
      <c r="D75" s="632">
        <v>2019</v>
      </c>
      <c r="E75" s="59">
        <f t="shared" si="1"/>
        <v>3453390966.4574089</v>
      </c>
      <c r="F75" s="948">
        <f t="shared" si="2"/>
        <v>2644849991.6715312</v>
      </c>
      <c r="G75" s="948">
        <f t="shared" si="3"/>
        <v>664232743.31592476</v>
      </c>
      <c r="H75" s="948">
        <f t="shared" si="4"/>
        <v>144308231.46995288</v>
      </c>
      <c r="I75" s="362" t="s">
        <v>76</v>
      </c>
      <c r="J75" s="362"/>
      <c r="K75" s="2"/>
    </row>
    <row r="76" spans="1:11" ht="13">
      <c r="A76" s="2">
        <f t="shared" si="5"/>
        <v>29</v>
      </c>
      <c r="C76" s="20" t="s">
        <v>183</v>
      </c>
      <c r="D76" s="632">
        <v>2019</v>
      </c>
      <c r="E76" s="59">
        <f t="shared" si="1"/>
        <v>3445138507.1648588</v>
      </c>
      <c r="F76" s="948">
        <f t="shared" si="2"/>
        <v>2638636512.4247937</v>
      </c>
      <c r="G76" s="948">
        <f t="shared" si="3"/>
        <v>662588684.02356625</v>
      </c>
      <c r="H76" s="948">
        <f t="shared" si="4"/>
        <v>143913310.71649864</v>
      </c>
      <c r="I76" s="362" t="s">
        <v>76</v>
      </c>
      <c r="J76" s="362"/>
      <c r="K76" s="2"/>
    </row>
    <row r="77" spans="1:11" ht="13">
      <c r="A77" s="2">
        <f t="shared" si="5"/>
        <v>30</v>
      </c>
      <c r="C77" s="21" t="s">
        <v>184</v>
      </c>
      <c r="D77" s="632">
        <v>2019</v>
      </c>
      <c r="E77" s="59">
        <f t="shared" si="1"/>
        <v>3436798829.4170537</v>
      </c>
      <c r="F77" s="948">
        <f t="shared" si="2"/>
        <v>2632334997.632802</v>
      </c>
      <c r="G77" s="948">
        <f t="shared" si="3"/>
        <v>660945441.82120764</v>
      </c>
      <c r="H77" s="948">
        <f t="shared" si="4"/>
        <v>143518389.96304438</v>
      </c>
      <c r="I77" s="362" t="s">
        <v>76</v>
      </c>
      <c r="J77" s="362"/>
      <c r="K77" s="2"/>
    </row>
    <row r="78" spans="1:11" ht="13">
      <c r="A78" s="2">
        <f t="shared" si="5"/>
        <v>31</v>
      </c>
      <c r="C78" s="21" t="s">
        <v>185</v>
      </c>
      <c r="D78" s="632">
        <v>2019</v>
      </c>
      <c r="E78" s="59">
        <f t="shared" si="1"/>
        <v>3428476293.3546386</v>
      </c>
      <c r="F78" s="948">
        <f t="shared" si="2"/>
        <v>2626049872.3558741</v>
      </c>
      <c r="G78" s="948">
        <f t="shared" si="3"/>
        <v>659302951.78917468</v>
      </c>
      <c r="H78" s="948">
        <f t="shared" si="4"/>
        <v>143123469.20959014</v>
      </c>
      <c r="I78" s="362" t="s">
        <v>76</v>
      </c>
      <c r="J78" s="362"/>
      <c r="K78" s="2"/>
    </row>
    <row r="79" spans="1:11" ht="13">
      <c r="A79" s="2">
        <f t="shared" si="5"/>
        <v>32</v>
      </c>
      <c r="C79" s="20" t="s">
        <v>186</v>
      </c>
      <c r="D79" s="632">
        <v>2019</v>
      </c>
      <c r="E79" s="59">
        <f t="shared" si="1"/>
        <v>3420250830.8007946</v>
      </c>
      <c r="F79" s="948">
        <f t="shared" si="2"/>
        <v>2619863057.2560182</v>
      </c>
      <c r="G79" s="948">
        <f t="shared" si="3"/>
        <v>657659225.08864045</v>
      </c>
      <c r="H79" s="948">
        <f t="shared" si="4"/>
        <v>142728548.45613587</v>
      </c>
      <c r="I79" s="362" t="s">
        <v>76</v>
      </c>
      <c r="J79" s="362"/>
      <c r="K79" s="83"/>
    </row>
    <row r="80" spans="1:11" ht="13">
      <c r="A80" s="2">
        <f t="shared" si="5"/>
        <v>33</v>
      </c>
      <c r="C80" s="21" t="s">
        <v>187</v>
      </c>
      <c r="D80" s="632">
        <v>2019</v>
      </c>
      <c r="E80" s="59">
        <f t="shared" si="1"/>
        <v>3411943243.0212688</v>
      </c>
      <c r="F80" s="948">
        <f t="shared" si="2"/>
        <v>2613590643.3082299</v>
      </c>
      <c r="G80" s="948">
        <f t="shared" si="3"/>
        <v>656018972.0103575</v>
      </c>
      <c r="H80" s="948">
        <f t="shared" si="4"/>
        <v>142333627.70268163</v>
      </c>
      <c r="I80" s="362" t="s">
        <v>76</v>
      </c>
      <c r="J80" s="362"/>
      <c r="K80" s="2"/>
    </row>
    <row r="81" spans="1:11" ht="13">
      <c r="A81" s="2">
        <f t="shared" si="5"/>
        <v>34</v>
      </c>
      <c r="C81" s="21" t="s">
        <v>188</v>
      </c>
      <c r="D81" s="632">
        <v>2019</v>
      </c>
      <c r="E81" s="59">
        <f t="shared" si="1"/>
        <v>3404812066.6513181</v>
      </c>
      <c r="F81" s="948">
        <f t="shared" si="2"/>
        <v>2608498427.3368988</v>
      </c>
      <c r="G81" s="948">
        <f t="shared" si="3"/>
        <v>654374932.36519206</v>
      </c>
      <c r="H81" s="948">
        <f t="shared" si="4"/>
        <v>141938706.94922739</v>
      </c>
      <c r="I81" s="362" t="s">
        <v>76</v>
      </c>
      <c r="J81" s="362"/>
      <c r="K81" s="2"/>
    </row>
    <row r="82" spans="1:11" ht="13">
      <c r="A82" s="2">
        <f t="shared" si="5"/>
        <v>35</v>
      </c>
      <c r="C82" s="20" t="s">
        <v>189</v>
      </c>
      <c r="D82" s="632">
        <v>2019</v>
      </c>
      <c r="E82" s="59">
        <f t="shared" si="1"/>
        <v>3397914205.4843745</v>
      </c>
      <c r="F82" s="948">
        <f t="shared" si="2"/>
        <v>2603639432.5321426</v>
      </c>
      <c r="G82" s="948">
        <f t="shared" si="3"/>
        <v>652730986.75645864</v>
      </c>
      <c r="H82" s="948">
        <f t="shared" si="4"/>
        <v>141543786.19577312</v>
      </c>
      <c r="I82" s="362" t="s">
        <v>76</v>
      </c>
      <c r="J82" s="362"/>
      <c r="K82" s="2"/>
    </row>
    <row r="83" spans="1:11" ht="13">
      <c r="A83" s="2">
        <f t="shared" si="5"/>
        <v>36</v>
      </c>
      <c r="C83" s="20" t="s">
        <v>190</v>
      </c>
      <c r="D83" s="632">
        <v>2019</v>
      </c>
      <c r="E83" s="59">
        <f t="shared" si="1"/>
        <v>3389966154.6605611</v>
      </c>
      <c r="F83" s="948">
        <f t="shared" si="2"/>
        <v>2597867728.7640333</v>
      </c>
      <c r="G83" s="948">
        <f t="shared" si="3"/>
        <v>650980081.91955316</v>
      </c>
      <c r="H83" s="948">
        <f t="shared" si="4"/>
        <v>141118343.97697452</v>
      </c>
      <c r="I83" s="362" t="s">
        <v>76</v>
      </c>
      <c r="J83" s="362"/>
      <c r="K83" s="2"/>
    </row>
    <row r="84" spans="1:11" ht="13">
      <c r="A84" s="2">
        <f t="shared" si="5"/>
        <v>37</v>
      </c>
      <c r="C84" s="20" t="s">
        <v>180</v>
      </c>
      <c r="D84" s="632">
        <v>2019</v>
      </c>
      <c r="E84" s="58">
        <f t="shared" si="1"/>
        <v>3382278970.8998475</v>
      </c>
      <c r="F84" s="364">
        <f t="shared" si="2"/>
        <v>2592436383.0980816</v>
      </c>
      <c r="G84" s="364">
        <f t="shared" si="3"/>
        <v>649167356.36563158</v>
      </c>
      <c r="H84" s="364">
        <f t="shared" si="4"/>
        <v>140675231.43613446</v>
      </c>
      <c r="I84" s="362" t="s">
        <v>76</v>
      </c>
      <c r="J84" s="362"/>
      <c r="K84" s="2"/>
    </row>
    <row r="85" spans="1:11" ht="13">
      <c r="A85" s="2">
        <f t="shared" si="5"/>
        <v>38</v>
      </c>
      <c r="C85" s="20"/>
      <c r="D85" s="190" t="s">
        <v>539</v>
      </c>
      <c r="E85" s="103">
        <f>SUM(E72:E84)/13</f>
        <v>3429169696.8267264</v>
      </c>
      <c r="F85" s="103">
        <f>SUM(F72:F84)/13</f>
        <v>2626780479.4294782</v>
      </c>
      <c r="G85" s="103">
        <f>SUM(G72:G84)/13</f>
        <v>659274150.85827935</v>
      </c>
      <c r="H85" s="103">
        <f>SUM(H72:H84)/13</f>
        <v>143115066.53896901</v>
      </c>
      <c r="I85" s="44"/>
      <c r="J85" s="1"/>
      <c r="K85" s="2"/>
    </row>
    <row r="87" spans="1:11" ht="13">
      <c r="A87" s="521"/>
      <c r="C87" s="522" t="s">
        <v>1538</v>
      </c>
      <c r="D87" s="523"/>
      <c r="E87" s="524"/>
      <c r="F87" s="524"/>
      <c r="G87" s="524"/>
      <c r="H87" s="524"/>
      <c r="I87" s="1"/>
      <c r="J87" s="1"/>
    </row>
    <row r="88" spans="1:11" ht="13">
      <c r="A88" s="521"/>
      <c r="C88" s="522"/>
      <c r="D88" s="523"/>
      <c r="E88" s="84" t="s">
        <v>359</v>
      </c>
      <c r="F88" s="84" t="s">
        <v>343</v>
      </c>
      <c r="G88" s="84" t="s">
        <v>344</v>
      </c>
      <c r="H88" s="524"/>
      <c r="I88" s="1"/>
      <c r="J88" s="1"/>
    </row>
    <row r="89" spans="1:11" ht="13">
      <c r="A89" s="521"/>
      <c r="C89" s="510"/>
      <c r="D89" s="523"/>
      <c r="G89" s="485" t="s">
        <v>1654</v>
      </c>
      <c r="H89" s="524"/>
      <c r="I89" s="1"/>
      <c r="J89" s="1"/>
    </row>
    <row r="90" spans="1:11" ht="13">
      <c r="A90" s="521"/>
      <c r="C90" s="510"/>
      <c r="D90" s="523"/>
      <c r="E90" s="359" t="s">
        <v>432</v>
      </c>
      <c r="F90" s="524"/>
      <c r="G90" s="525" t="s">
        <v>1539</v>
      </c>
      <c r="H90" s="524"/>
      <c r="I90" s="1"/>
      <c r="J90" s="1"/>
    </row>
    <row r="91" spans="1:11" ht="13">
      <c r="A91" s="521"/>
      <c r="C91" s="521" t="s">
        <v>531</v>
      </c>
      <c r="E91" s="359" t="s">
        <v>1540</v>
      </c>
      <c r="F91" s="359" t="s">
        <v>99</v>
      </c>
      <c r="G91" s="359" t="s">
        <v>1540</v>
      </c>
      <c r="H91" s="524"/>
      <c r="I91" s="1"/>
      <c r="J91" s="1"/>
    </row>
    <row r="92" spans="1:11" ht="13">
      <c r="A92" s="521"/>
      <c r="C92" s="521" t="s">
        <v>193</v>
      </c>
      <c r="E92" s="359" t="s">
        <v>8</v>
      </c>
      <c r="F92" s="4" t="s">
        <v>1541</v>
      </c>
      <c r="G92" s="359" t="s">
        <v>8</v>
      </c>
      <c r="H92" s="524"/>
      <c r="I92" s="1"/>
      <c r="J92" s="1"/>
    </row>
    <row r="93" spans="1:11" ht="13">
      <c r="A93" s="521"/>
      <c r="C93" s="25" t="s">
        <v>192</v>
      </c>
      <c r="D93" s="25" t="s">
        <v>193</v>
      </c>
      <c r="E93" s="360" t="s">
        <v>1542</v>
      </c>
      <c r="F93" s="3" t="s">
        <v>1543</v>
      </c>
      <c r="G93" s="360" t="s">
        <v>1542</v>
      </c>
      <c r="H93" s="360" t="s">
        <v>1544</v>
      </c>
      <c r="I93" s="1"/>
      <c r="J93" s="1"/>
    </row>
    <row r="94" spans="1:11" ht="12.75" customHeight="1">
      <c r="A94" s="521">
        <f>A85+1</f>
        <v>39</v>
      </c>
      <c r="C94" s="510" t="s">
        <v>180</v>
      </c>
      <c r="D94" s="1166">
        <v>2018</v>
      </c>
      <c r="E94" s="7">
        <f>H117+H137+H157+H176+H195+H214+H233+H252+H271+H290</f>
        <v>0</v>
      </c>
      <c r="F94" s="526">
        <v>0</v>
      </c>
      <c r="G94" s="524">
        <f>E94-F94</f>
        <v>0</v>
      </c>
      <c r="H94" s="531" t="s">
        <v>1554</v>
      </c>
      <c r="I94" s="1"/>
      <c r="J94" s="7"/>
    </row>
    <row r="95" spans="1:11" ht="13">
      <c r="A95" s="521">
        <f>A94+1</f>
        <v>40</v>
      </c>
      <c r="C95" s="510" t="s">
        <v>181</v>
      </c>
      <c r="D95" s="632">
        <v>2019</v>
      </c>
      <c r="E95" s="7">
        <f>H118+H138+H158+H177+H196+H215+H234+H253+H272+H291</f>
        <v>188178.29999972275</v>
      </c>
      <c r="F95" s="526">
        <v>0</v>
      </c>
      <c r="G95" s="524">
        <f t="shared" ref="G95:G106" si="6">E95-F95</f>
        <v>188178.29999972275</v>
      </c>
      <c r="H95" s="531" t="s">
        <v>1553</v>
      </c>
      <c r="I95" s="73"/>
      <c r="J95" s="7"/>
    </row>
    <row r="96" spans="1:11" ht="13">
      <c r="A96" s="521">
        <f t="shared" ref="A96:A107" si="7">A95+1</f>
        <v>41</v>
      </c>
      <c r="C96" s="508" t="s">
        <v>182</v>
      </c>
      <c r="D96" s="632">
        <v>2019</v>
      </c>
      <c r="E96" s="7">
        <f t="shared" ref="E96:E106" si="8">H119+H139+H159+H178+H197+H216+H235+H254+H273+H292</f>
        <v>472995.49000014132</v>
      </c>
      <c r="F96" s="526">
        <v>0</v>
      </c>
      <c r="G96" s="524">
        <f t="shared" si="6"/>
        <v>472995.49000014132</v>
      </c>
      <c r="H96" s="531"/>
      <c r="I96" s="73"/>
      <c r="J96" s="7"/>
    </row>
    <row r="97" spans="1:10" ht="13">
      <c r="A97" s="521">
        <f t="shared" si="7"/>
        <v>42</v>
      </c>
      <c r="C97" s="508" t="s">
        <v>195</v>
      </c>
      <c r="D97" s="632">
        <v>2019</v>
      </c>
      <c r="E97" s="7">
        <f t="shared" si="8"/>
        <v>593121.90000030678</v>
      </c>
      <c r="F97" s="526">
        <v>0</v>
      </c>
      <c r="G97" s="524">
        <f t="shared" si="6"/>
        <v>593121.90000030678</v>
      </c>
      <c r="H97" s="524"/>
      <c r="I97" s="73"/>
      <c r="J97" s="7"/>
    </row>
    <row r="98" spans="1:10" ht="13">
      <c r="A98" s="521">
        <f t="shared" si="7"/>
        <v>43</v>
      </c>
      <c r="C98" s="510" t="s">
        <v>183</v>
      </c>
      <c r="D98" s="632">
        <v>2019</v>
      </c>
      <c r="E98" s="7">
        <f t="shared" si="8"/>
        <v>239519.66999943601</v>
      </c>
      <c r="F98" s="526">
        <v>0</v>
      </c>
      <c r="G98" s="524">
        <f t="shared" si="6"/>
        <v>239519.66999943601</v>
      </c>
      <c r="H98" s="524"/>
      <c r="I98" s="73"/>
      <c r="J98" s="7"/>
    </row>
    <row r="99" spans="1:10" ht="13">
      <c r="A99" s="521">
        <f t="shared" si="7"/>
        <v>44</v>
      </c>
      <c r="C99" s="508" t="s">
        <v>184</v>
      </c>
      <c r="D99" s="632">
        <v>2019</v>
      </c>
      <c r="E99" s="7">
        <f t="shared" si="8"/>
        <v>134604.45000019111</v>
      </c>
      <c r="F99" s="526">
        <v>0</v>
      </c>
      <c r="G99" s="524">
        <f t="shared" si="6"/>
        <v>134604.45000019111</v>
      </c>
      <c r="H99" s="524"/>
      <c r="I99" s="73"/>
      <c r="J99" s="7"/>
    </row>
    <row r="100" spans="1:10" ht="13">
      <c r="A100" s="521">
        <f t="shared" si="7"/>
        <v>45</v>
      </c>
      <c r="C100" s="508" t="s">
        <v>185</v>
      </c>
      <c r="D100" s="632">
        <v>2019</v>
      </c>
      <c r="E100" s="7">
        <f t="shared" si="8"/>
        <v>148440.86000033654</v>
      </c>
      <c r="F100" s="526">
        <v>0</v>
      </c>
      <c r="G100" s="524">
        <f t="shared" si="6"/>
        <v>148440.86000033654</v>
      </c>
      <c r="H100" s="524"/>
      <c r="I100" s="73"/>
      <c r="J100" s="7"/>
    </row>
    <row r="101" spans="1:10" ht="13">
      <c r="A101" s="521">
        <f t="shared" si="7"/>
        <v>46</v>
      </c>
      <c r="C101" s="510" t="s">
        <v>186</v>
      </c>
      <c r="D101" s="632">
        <v>2019</v>
      </c>
      <c r="E101" s="7">
        <f t="shared" si="8"/>
        <v>279789.34999969602</v>
      </c>
      <c r="F101" s="526">
        <v>0</v>
      </c>
      <c r="G101" s="524">
        <f t="shared" si="6"/>
        <v>279789.34999969602</v>
      </c>
      <c r="H101" s="524"/>
      <c r="I101" s="73"/>
      <c r="J101" s="7"/>
    </row>
    <row r="102" spans="1:10" ht="13">
      <c r="A102" s="521">
        <f t="shared" si="7"/>
        <v>47</v>
      </c>
      <c r="C102" s="508" t="s">
        <v>187</v>
      </c>
      <c r="D102" s="632">
        <v>2019</v>
      </c>
      <c r="E102" s="7">
        <f t="shared" si="8"/>
        <v>136698.75000053039</v>
      </c>
      <c r="F102" s="526">
        <v>0</v>
      </c>
      <c r="G102" s="524">
        <f t="shared" si="6"/>
        <v>136698.75000053039</v>
      </c>
      <c r="H102" s="524"/>
      <c r="I102" s="73"/>
      <c r="J102" s="7"/>
    </row>
    <row r="103" spans="1:10" ht="13">
      <c r="A103" s="521">
        <f t="shared" si="7"/>
        <v>48</v>
      </c>
      <c r="C103" s="508" t="s">
        <v>188</v>
      </c>
      <c r="D103" s="632">
        <v>2019</v>
      </c>
      <c r="E103" s="7">
        <f t="shared" si="8"/>
        <v>1296516.4499994614</v>
      </c>
      <c r="F103" s="526">
        <v>0</v>
      </c>
      <c r="G103" s="524">
        <f t="shared" si="6"/>
        <v>1296516.4499994614</v>
      </c>
      <c r="H103" s="524"/>
      <c r="I103" s="73"/>
      <c r="J103" s="7"/>
    </row>
    <row r="104" spans="1:10" ht="13">
      <c r="A104" s="521">
        <f t="shared" si="7"/>
        <v>49</v>
      </c>
      <c r="C104" s="510" t="s">
        <v>189</v>
      </c>
      <c r="D104" s="632">
        <v>2019</v>
      </c>
      <c r="E104" s="7">
        <f t="shared" si="8"/>
        <v>1531769.2400007956</v>
      </c>
      <c r="F104" s="526">
        <v>0</v>
      </c>
      <c r="G104" s="524">
        <f t="shared" si="6"/>
        <v>1531769.2400007956</v>
      </c>
      <c r="H104" s="524"/>
      <c r="I104" s="73"/>
      <c r="J104" s="7"/>
    </row>
    <row r="105" spans="1:10" ht="13">
      <c r="A105" s="521">
        <f t="shared" si="7"/>
        <v>50</v>
      </c>
      <c r="C105" s="510" t="s">
        <v>190</v>
      </c>
      <c r="D105" s="632">
        <v>2019</v>
      </c>
      <c r="E105" s="7">
        <f t="shared" si="8"/>
        <v>856109.20999940857</v>
      </c>
      <c r="F105" s="526">
        <v>0</v>
      </c>
      <c r="G105" s="524">
        <f t="shared" si="6"/>
        <v>856109.20999940857</v>
      </c>
      <c r="H105" s="524"/>
      <c r="I105" s="73"/>
      <c r="J105" s="7"/>
    </row>
    <row r="106" spans="1:10" ht="13">
      <c r="A106" s="521">
        <f t="shared" si="7"/>
        <v>51</v>
      </c>
      <c r="C106" s="510" t="s">
        <v>180</v>
      </c>
      <c r="D106" s="632">
        <v>2019</v>
      </c>
      <c r="E106" s="91">
        <f t="shared" si="8"/>
        <v>145840197.51121211</v>
      </c>
      <c r="F106" s="407">
        <v>0</v>
      </c>
      <c r="G106" s="364">
        <f t="shared" si="6"/>
        <v>145840197.51121211</v>
      </c>
      <c r="H106" s="524"/>
      <c r="I106" s="73"/>
      <c r="J106" s="7"/>
    </row>
    <row r="107" spans="1:10" ht="13">
      <c r="A107" s="521">
        <f t="shared" si="7"/>
        <v>52</v>
      </c>
      <c r="C107" s="510" t="s">
        <v>196</v>
      </c>
      <c r="D107" s="514"/>
      <c r="E107" s="63">
        <f>SUM(E94:E106)</f>
        <v>151717941.18121213</v>
      </c>
      <c r="F107" s="63">
        <f>SUM(F94:F106)</f>
        <v>0</v>
      </c>
      <c r="G107" s="63">
        <f>SUM(G94:G106)</f>
        <v>151717941.18121213</v>
      </c>
      <c r="H107" s="524"/>
      <c r="I107" s="73"/>
      <c r="J107" s="1"/>
    </row>
    <row r="108" spans="1:10" ht="13">
      <c r="A108" s="521"/>
      <c r="C108" s="510"/>
      <c r="D108" s="514"/>
      <c r="E108" s="63"/>
      <c r="F108" s="524"/>
      <c r="G108" s="524"/>
      <c r="H108" s="524"/>
      <c r="I108" s="73"/>
      <c r="J108" s="1"/>
    </row>
    <row r="110" spans="1:10" ht="13">
      <c r="C110" s="189" t="s">
        <v>1545</v>
      </c>
    </row>
    <row r="112" spans="1:10" ht="13">
      <c r="C112" s="1" t="s">
        <v>1546</v>
      </c>
      <c r="E112" s="84" t="s">
        <v>359</v>
      </c>
      <c r="F112" s="84" t="s">
        <v>343</v>
      </c>
      <c r="G112" s="84" t="s">
        <v>344</v>
      </c>
      <c r="H112" s="84" t="s">
        <v>345</v>
      </c>
    </row>
    <row r="113" spans="1:9">
      <c r="G113" s="485" t="s">
        <v>1654</v>
      </c>
      <c r="H113" s="485" t="s">
        <v>1655</v>
      </c>
    </row>
    <row r="114" spans="1:9" ht="13">
      <c r="C114" s="521" t="s">
        <v>531</v>
      </c>
      <c r="H114" s="477" t="s">
        <v>1656</v>
      </c>
    </row>
    <row r="115" spans="1:9" ht="13">
      <c r="C115" s="521" t="s">
        <v>193</v>
      </c>
      <c r="E115" s="521" t="s">
        <v>372</v>
      </c>
      <c r="F115" s="521" t="s">
        <v>1547</v>
      </c>
      <c r="G115" s="521" t="s">
        <v>998</v>
      </c>
      <c r="H115" s="521" t="s">
        <v>1122</v>
      </c>
    </row>
    <row r="116" spans="1:9" ht="13">
      <c r="C116" s="25" t="s">
        <v>192</v>
      </c>
      <c r="D116" s="25" t="s">
        <v>193</v>
      </c>
      <c r="E116" s="3" t="s">
        <v>1548</v>
      </c>
      <c r="F116" s="3" t="s">
        <v>1086</v>
      </c>
      <c r="G116" s="3" t="s">
        <v>3</v>
      </c>
      <c r="H116" s="3" t="s">
        <v>1543</v>
      </c>
    </row>
    <row r="117" spans="1:9" ht="13">
      <c r="A117" s="521">
        <f>A107+1</f>
        <v>53</v>
      </c>
      <c r="C117" s="510" t="s">
        <v>180</v>
      </c>
      <c r="D117" s="1166">
        <v>2018</v>
      </c>
      <c r="E117" s="1072">
        <v>3054617061.2172151</v>
      </c>
      <c r="F117" s="1072">
        <v>391650613.87370574</v>
      </c>
      <c r="G117" s="7">
        <f t="shared" ref="G117:G129" si="9">E117-F117</f>
        <v>2662966447.3435092</v>
      </c>
      <c r="H117" s="7">
        <f>E117-E117</f>
        <v>0</v>
      </c>
      <c r="I117" s="573"/>
    </row>
    <row r="118" spans="1:9" ht="13">
      <c r="A118" s="521">
        <f>A117+1</f>
        <v>54</v>
      </c>
      <c r="C118" s="510" t="s">
        <v>181</v>
      </c>
      <c r="D118" s="632">
        <v>2019</v>
      </c>
      <c r="E118" s="1072">
        <v>3054760967.2472148</v>
      </c>
      <c r="F118" s="1072">
        <v>398069042.6085394</v>
      </c>
      <c r="G118" s="7">
        <f t="shared" si="9"/>
        <v>2656691924.6386752</v>
      </c>
      <c r="H118" s="7">
        <f>E118-E117</f>
        <v>143906.02999973297</v>
      </c>
    </row>
    <row r="119" spans="1:9" ht="13">
      <c r="A119" s="521">
        <f t="shared" ref="A119:A129" si="10">A118+1</f>
        <v>55</v>
      </c>
      <c r="C119" s="508" t="s">
        <v>182</v>
      </c>
      <c r="D119" s="632">
        <v>2019</v>
      </c>
      <c r="E119" s="1072">
        <v>3055215817.3572149</v>
      </c>
      <c r="F119" s="1072">
        <v>404495003.13659084</v>
      </c>
      <c r="G119" s="7">
        <f t="shared" si="9"/>
        <v>2650720814.220624</v>
      </c>
      <c r="H119" s="7">
        <f t="shared" ref="H119:H129" si="11">E119-E118</f>
        <v>454850.11000013351</v>
      </c>
    </row>
    <row r="120" spans="1:9" ht="13">
      <c r="A120" s="521">
        <f t="shared" si="10"/>
        <v>56</v>
      </c>
      <c r="C120" s="508" t="s">
        <v>195</v>
      </c>
      <c r="D120" s="632">
        <v>2019</v>
      </c>
      <c r="E120" s="1072">
        <v>3055771917.0372152</v>
      </c>
      <c r="F120" s="1072">
        <v>410921925.36568385</v>
      </c>
      <c r="G120" s="7">
        <f t="shared" si="9"/>
        <v>2644849991.6715312</v>
      </c>
      <c r="H120" s="7">
        <f t="shared" si="11"/>
        <v>556099.68000030518</v>
      </c>
    </row>
    <row r="121" spans="1:9" ht="13">
      <c r="A121" s="521">
        <f t="shared" si="10"/>
        <v>57</v>
      </c>
      <c r="C121" s="510" t="s">
        <v>183</v>
      </c>
      <c r="D121" s="632">
        <v>2019</v>
      </c>
      <c r="E121" s="1072">
        <v>3055985292.8872147</v>
      </c>
      <c r="F121" s="1072">
        <v>417348780.46242106</v>
      </c>
      <c r="G121" s="7">
        <f t="shared" si="9"/>
        <v>2638636512.4247937</v>
      </c>
      <c r="H121" s="7">
        <f t="shared" si="11"/>
        <v>213375.8499994278</v>
      </c>
    </row>
    <row r="122" spans="1:9" ht="13">
      <c r="A122" s="521">
        <f t="shared" si="10"/>
        <v>58</v>
      </c>
      <c r="C122" s="508" t="s">
        <v>184</v>
      </c>
      <c r="D122" s="632">
        <v>2019</v>
      </c>
      <c r="E122" s="1072">
        <v>3056111076.8372149</v>
      </c>
      <c r="F122" s="1072">
        <v>423776079.204413</v>
      </c>
      <c r="G122" s="7">
        <f t="shared" si="9"/>
        <v>2632334997.632802</v>
      </c>
      <c r="H122" s="7">
        <f t="shared" si="11"/>
        <v>125783.9500002861</v>
      </c>
    </row>
    <row r="123" spans="1:9" ht="13">
      <c r="A123" s="521">
        <f t="shared" si="10"/>
        <v>59</v>
      </c>
      <c r="C123" s="508" t="s">
        <v>185</v>
      </c>
      <c r="D123" s="632">
        <v>2019</v>
      </c>
      <c r="E123" s="1072">
        <v>3056253537.2472153</v>
      </c>
      <c r="F123" s="1072">
        <v>430203664.89134127</v>
      </c>
      <c r="G123" s="7">
        <f t="shared" si="9"/>
        <v>2626049872.3558741</v>
      </c>
      <c r="H123" s="7">
        <f t="shared" si="11"/>
        <v>142460.41000032425</v>
      </c>
    </row>
    <row r="124" spans="1:9" ht="13">
      <c r="A124" s="521">
        <f t="shared" si="10"/>
        <v>60</v>
      </c>
      <c r="C124" s="510" t="s">
        <v>186</v>
      </c>
      <c r="D124" s="632">
        <v>2019</v>
      </c>
      <c r="E124" s="1072">
        <v>3056494463.987215</v>
      </c>
      <c r="F124" s="1072">
        <v>436631406.73119676</v>
      </c>
      <c r="G124" s="7">
        <f t="shared" si="9"/>
        <v>2619863057.2560182</v>
      </c>
      <c r="H124" s="7">
        <f t="shared" si="11"/>
        <v>240926.73999977112</v>
      </c>
    </row>
    <row r="125" spans="1:9" ht="13">
      <c r="A125" s="521">
        <f t="shared" si="10"/>
        <v>61</v>
      </c>
      <c r="C125" s="508" t="s">
        <v>187</v>
      </c>
      <c r="D125" s="632">
        <v>2019</v>
      </c>
      <c r="E125" s="1072">
        <v>3056604727.8372154</v>
      </c>
      <c r="F125" s="1072">
        <v>443014084.52898538</v>
      </c>
      <c r="G125" s="7">
        <f t="shared" si="9"/>
        <v>2613590643.3082299</v>
      </c>
      <c r="H125" s="7">
        <f t="shared" si="11"/>
        <v>110263.85000038147</v>
      </c>
    </row>
    <row r="126" spans="1:9" ht="13">
      <c r="A126" s="521">
        <f t="shared" si="10"/>
        <v>62</v>
      </c>
      <c r="C126" s="508" t="s">
        <v>188</v>
      </c>
      <c r="D126" s="632">
        <v>2019</v>
      </c>
      <c r="E126" s="1072">
        <v>3057895453.1272149</v>
      </c>
      <c r="F126" s="1072">
        <v>449397025.79031593</v>
      </c>
      <c r="G126" s="7">
        <f t="shared" si="9"/>
        <v>2608498427.3368988</v>
      </c>
      <c r="H126" s="7">
        <f t="shared" si="11"/>
        <v>1290725.289999485</v>
      </c>
    </row>
    <row r="127" spans="1:9" ht="13">
      <c r="A127" s="521">
        <f t="shared" si="10"/>
        <v>63</v>
      </c>
      <c r="C127" s="510" t="s">
        <v>189</v>
      </c>
      <c r="D127" s="632">
        <v>2019</v>
      </c>
      <c r="E127" s="1072">
        <v>3059422137.8272157</v>
      </c>
      <c r="F127" s="1072">
        <v>455782705.29507315</v>
      </c>
      <c r="G127" s="7">
        <f t="shared" si="9"/>
        <v>2603639432.5321426</v>
      </c>
      <c r="H127" s="7">
        <f t="shared" si="11"/>
        <v>1526684.7000007629</v>
      </c>
    </row>
    <row r="128" spans="1:9" ht="13">
      <c r="A128" s="521">
        <f t="shared" si="10"/>
        <v>64</v>
      </c>
      <c r="C128" s="510" t="s">
        <v>190</v>
      </c>
      <c r="D128" s="632">
        <v>2019</v>
      </c>
      <c r="E128" s="1072">
        <v>3060278462.1972151</v>
      </c>
      <c r="F128" s="1072">
        <v>462410733.43318194</v>
      </c>
      <c r="G128" s="7">
        <f t="shared" si="9"/>
        <v>2597867728.7640333</v>
      </c>
      <c r="H128" s="7">
        <f t="shared" si="11"/>
        <v>856324.36999940872</v>
      </c>
    </row>
    <row r="129" spans="1:8" ht="13">
      <c r="A129" s="521">
        <f t="shared" si="10"/>
        <v>65</v>
      </c>
      <c r="C129" s="510" t="s">
        <v>180</v>
      </c>
      <c r="D129" s="632">
        <v>2019</v>
      </c>
      <c r="E129" s="1072">
        <v>3061615451.5972152</v>
      </c>
      <c r="F129" s="1072">
        <v>469179068.49913371</v>
      </c>
      <c r="G129" s="7">
        <f t="shared" si="9"/>
        <v>2592436383.0980816</v>
      </c>
      <c r="H129" s="7">
        <f t="shared" si="11"/>
        <v>1336989.4000000954</v>
      </c>
    </row>
    <row r="130" spans="1:8" ht="13">
      <c r="A130" s="521"/>
      <c r="C130" s="510"/>
      <c r="D130" s="514"/>
    </row>
    <row r="132" spans="1:8" ht="13">
      <c r="C132" s="189" t="s">
        <v>1549</v>
      </c>
      <c r="E132" s="84" t="s">
        <v>359</v>
      </c>
      <c r="F132" s="84" t="s">
        <v>343</v>
      </c>
      <c r="G132" s="84" t="s">
        <v>344</v>
      </c>
      <c r="H132" s="84" t="s">
        <v>345</v>
      </c>
    </row>
    <row r="133" spans="1:8">
      <c r="G133" s="485" t="s">
        <v>1654</v>
      </c>
      <c r="H133" s="485" t="s">
        <v>1655</v>
      </c>
    </row>
    <row r="134" spans="1:8" ht="13">
      <c r="C134" s="521" t="s">
        <v>531</v>
      </c>
      <c r="H134" s="477" t="s">
        <v>1656</v>
      </c>
    </row>
    <row r="135" spans="1:8" ht="13">
      <c r="C135" s="521" t="s">
        <v>193</v>
      </c>
      <c r="E135" s="521" t="s">
        <v>372</v>
      </c>
      <c r="F135" s="521" t="s">
        <v>1547</v>
      </c>
      <c r="G135" s="521" t="s">
        <v>998</v>
      </c>
      <c r="H135" s="521" t="s">
        <v>1122</v>
      </c>
    </row>
    <row r="136" spans="1:8" ht="13">
      <c r="C136" s="25" t="s">
        <v>192</v>
      </c>
      <c r="D136" s="25" t="s">
        <v>193</v>
      </c>
      <c r="E136" s="3" t="s">
        <v>1548</v>
      </c>
      <c r="F136" s="3" t="s">
        <v>1086</v>
      </c>
      <c r="G136" s="3" t="s">
        <v>3</v>
      </c>
      <c r="H136" s="3" t="s">
        <v>1543</v>
      </c>
    </row>
    <row r="137" spans="1:8" ht="13">
      <c r="A137" s="521">
        <f>A129+1</f>
        <v>66</v>
      </c>
      <c r="C137" s="510" t="s">
        <v>180</v>
      </c>
      <c r="D137" s="1166">
        <v>2018</v>
      </c>
      <c r="E137" s="1072">
        <v>191500873.53999996</v>
      </c>
      <c r="F137" s="1072">
        <v>46007879.809684336</v>
      </c>
      <c r="G137" s="7">
        <f>E137-F137</f>
        <v>145492993.73031563</v>
      </c>
      <c r="H137" s="7">
        <f>E137-E137</f>
        <v>0</v>
      </c>
    </row>
    <row r="138" spans="1:8" ht="13">
      <c r="A138" s="521">
        <f>A137+1</f>
        <v>67</v>
      </c>
      <c r="C138" s="510" t="s">
        <v>181</v>
      </c>
      <c r="D138" s="632">
        <v>2019</v>
      </c>
      <c r="E138" s="1072">
        <v>191500873.53999996</v>
      </c>
      <c r="F138" s="1072">
        <v>46402800.563138589</v>
      </c>
      <c r="G138" s="7">
        <f t="shared" ref="G138:G149" si="12">E138-F138</f>
        <v>145098072.97686136</v>
      </c>
      <c r="H138" s="7">
        <f>E138-E137</f>
        <v>0</v>
      </c>
    </row>
    <row r="139" spans="1:8" ht="13">
      <c r="A139" s="521">
        <f t="shared" ref="A139:A149" si="13">A138+1</f>
        <v>68</v>
      </c>
      <c r="C139" s="508" t="s">
        <v>182</v>
      </c>
      <c r="D139" s="632">
        <v>2019</v>
      </c>
      <c r="E139" s="1072">
        <v>191500873.53999996</v>
      </c>
      <c r="F139" s="1072">
        <v>46797721.316592835</v>
      </c>
      <c r="G139" s="7">
        <f t="shared" si="12"/>
        <v>144703152.22340712</v>
      </c>
      <c r="H139" s="7">
        <f t="shared" ref="H139:H149" si="14">E139-E138</f>
        <v>0</v>
      </c>
    </row>
    <row r="140" spans="1:8" ht="13">
      <c r="A140" s="521">
        <f t="shared" si="13"/>
        <v>69</v>
      </c>
      <c r="C140" s="508" t="s">
        <v>195</v>
      </c>
      <c r="D140" s="632">
        <v>2019</v>
      </c>
      <c r="E140" s="1072">
        <v>191500873.53999996</v>
      </c>
      <c r="F140" s="1072">
        <v>47192642.070047081</v>
      </c>
      <c r="G140" s="7">
        <f t="shared" si="12"/>
        <v>144308231.46995288</v>
      </c>
      <c r="H140" s="7">
        <f t="shared" si="14"/>
        <v>0</v>
      </c>
    </row>
    <row r="141" spans="1:8" ht="13">
      <c r="A141" s="521">
        <f t="shared" si="13"/>
        <v>70</v>
      </c>
      <c r="C141" s="510" t="s">
        <v>183</v>
      </c>
      <c r="D141" s="632">
        <v>2019</v>
      </c>
      <c r="E141" s="1072">
        <v>191500873.53999996</v>
      </c>
      <c r="F141" s="1072">
        <v>47587562.823501326</v>
      </c>
      <c r="G141" s="7">
        <f t="shared" si="12"/>
        <v>143913310.71649864</v>
      </c>
      <c r="H141" s="7">
        <f t="shared" si="14"/>
        <v>0</v>
      </c>
    </row>
    <row r="142" spans="1:8" ht="13">
      <c r="A142" s="521">
        <f t="shared" si="13"/>
        <v>71</v>
      </c>
      <c r="C142" s="508" t="s">
        <v>184</v>
      </c>
      <c r="D142" s="632">
        <v>2019</v>
      </c>
      <c r="E142" s="1072">
        <v>191500873.53999996</v>
      </c>
      <c r="F142" s="1072">
        <v>47982483.576955579</v>
      </c>
      <c r="G142" s="7">
        <f t="shared" si="12"/>
        <v>143518389.96304438</v>
      </c>
      <c r="H142" s="7">
        <f t="shared" si="14"/>
        <v>0</v>
      </c>
    </row>
    <row r="143" spans="1:8" ht="13">
      <c r="A143" s="521">
        <f t="shared" si="13"/>
        <v>72</v>
      </c>
      <c r="C143" s="508" t="s">
        <v>185</v>
      </c>
      <c r="D143" s="632">
        <v>2019</v>
      </c>
      <c r="E143" s="1072">
        <v>191500873.53999996</v>
      </c>
      <c r="F143" s="1072">
        <v>48377404.33040984</v>
      </c>
      <c r="G143" s="7">
        <f t="shared" si="12"/>
        <v>143123469.20959014</v>
      </c>
      <c r="H143" s="7">
        <f t="shared" si="14"/>
        <v>0</v>
      </c>
    </row>
    <row r="144" spans="1:8" ht="13">
      <c r="A144" s="521">
        <f t="shared" si="13"/>
        <v>73</v>
      </c>
      <c r="C144" s="510" t="s">
        <v>186</v>
      </c>
      <c r="D144" s="632">
        <v>2019</v>
      </c>
      <c r="E144" s="1072">
        <v>191500873.53999996</v>
      </c>
      <c r="F144" s="1072">
        <v>48772325.083864085</v>
      </c>
      <c r="G144" s="7">
        <f t="shared" si="12"/>
        <v>142728548.45613587</v>
      </c>
      <c r="H144" s="7">
        <f t="shared" si="14"/>
        <v>0</v>
      </c>
    </row>
    <row r="145" spans="1:8" ht="13">
      <c r="A145" s="521">
        <f t="shared" si="13"/>
        <v>74</v>
      </c>
      <c r="C145" s="508" t="s">
        <v>187</v>
      </c>
      <c r="D145" s="632">
        <v>2019</v>
      </c>
      <c r="E145" s="1072">
        <v>191500873.53999996</v>
      </c>
      <c r="F145" s="1072">
        <v>49167245.837318331</v>
      </c>
      <c r="G145" s="7">
        <f t="shared" si="12"/>
        <v>142333627.70268163</v>
      </c>
      <c r="H145" s="7">
        <f t="shared" si="14"/>
        <v>0</v>
      </c>
    </row>
    <row r="146" spans="1:8" ht="13">
      <c r="A146" s="521">
        <f t="shared" si="13"/>
        <v>75</v>
      </c>
      <c r="C146" s="508" t="s">
        <v>188</v>
      </c>
      <c r="D146" s="632">
        <v>2019</v>
      </c>
      <c r="E146" s="1072">
        <v>191500873.53999996</v>
      </c>
      <c r="F146" s="1072">
        <v>49562166.590772584</v>
      </c>
      <c r="G146" s="7">
        <f t="shared" si="12"/>
        <v>141938706.94922739</v>
      </c>
      <c r="H146" s="7">
        <f t="shared" si="14"/>
        <v>0</v>
      </c>
    </row>
    <row r="147" spans="1:8" ht="13">
      <c r="A147" s="521">
        <f t="shared" si="13"/>
        <v>76</v>
      </c>
      <c r="C147" s="510" t="s">
        <v>189</v>
      </c>
      <c r="D147" s="632">
        <v>2019</v>
      </c>
      <c r="E147" s="1072">
        <v>191500873.53999996</v>
      </c>
      <c r="F147" s="1072">
        <v>49957087.34422683</v>
      </c>
      <c r="G147" s="7">
        <f t="shared" si="12"/>
        <v>141543786.19577312</v>
      </c>
      <c r="H147" s="7">
        <f t="shared" si="14"/>
        <v>0</v>
      </c>
    </row>
    <row r="148" spans="1:8" ht="13">
      <c r="A148" s="521">
        <f t="shared" si="13"/>
        <v>77</v>
      </c>
      <c r="C148" s="510" t="s">
        <v>190</v>
      </c>
      <c r="D148" s="632">
        <v>2019</v>
      </c>
      <c r="E148" s="1072">
        <v>191500873.53999996</v>
      </c>
      <c r="F148" s="1072">
        <v>50382529.563025437</v>
      </c>
      <c r="G148" s="7">
        <f t="shared" si="12"/>
        <v>141118343.97697452</v>
      </c>
      <c r="H148" s="7">
        <f t="shared" si="14"/>
        <v>0</v>
      </c>
    </row>
    <row r="149" spans="1:8" ht="13">
      <c r="A149" s="521">
        <f t="shared" si="13"/>
        <v>78</v>
      </c>
      <c r="C149" s="510" t="s">
        <v>180</v>
      </c>
      <c r="D149" s="632">
        <v>2019</v>
      </c>
      <c r="E149" s="1072">
        <v>191500873.53999996</v>
      </c>
      <c r="F149" s="1072">
        <v>50825642.103865519</v>
      </c>
      <c r="G149" s="7">
        <f t="shared" si="12"/>
        <v>140675231.43613446</v>
      </c>
      <c r="H149" s="7">
        <f t="shared" si="14"/>
        <v>0</v>
      </c>
    </row>
    <row r="150" spans="1:8" ht="13">
      <c r="A150" s="521"/>
    </row>
    <row r="151" spans="1:8" ht="12.75" customHeight="1"/>
    <row r="152" spans="1:8" ht="13">
      <c r="C152" s="189" t="s">
        <v>1550</v>
      </c>
      <c r="E152" s="84" t="s">
        <v>359</v>
      </c>
      <c r="F152" s="84" t="s">
        <v>343</v>
      </c>
      <c r="G152" s="84" t="s">
        <v>344</v>
      </c>
      <c r="H152" s="84" t="s">
        <v>345</v>
      </c>
    </row>
    <row r="153" spans="1:8">
      <c r="G153" s="485" t="s">
        <v>1654</v>
      </c>
      <c r="H153" s="485" t="s">
        <v>1655</v>
      </c>
    </row>
    <row r="154" spans="1:8" ht="13">
      <c r="C154" s="521" t="s">
        <v>531</v>
      </c>
      <c r="H154" s="477" t="s">
        <v>1656</v>
      </c>
    </row>
    <row r="155" spans="1:8" ht="13">
      <c r="C155" s="521" t="s">
        <v>193</v>
      </c>
      <c r="E155" s="521" t="s">
        <v>372</v>
      </c>
      <c r="F155" s="521" t="s">
        <v>1547</v>
      </c>
      <c r="G155" s="521" t="s">
        <v>998</v>
      </c>
      <c r="H155" s="521" t="s">
        <v>1122</v>
      </c>
    </row>
    <row r="156" spans="1:8" ht="13">
      <c r="C156" s="25" t="s">
        <v>192</v>
      </c>
      <c r="D156" s="25" t="s">
        <v>193</v>
      </c>
      <c r="E156" s="3" t="s">
        <v>1548</v>
      </c>
      <c r="F156" s="3" t="s">
        <v>1086</v>
      </c>
      <c r="G156" s="3" t="s">
        <v>3</v>
      </c>
      <c r="H156" s="3" t="s">
        <v>1543</v>
      </c>
    </row>
    <row r="157" spans="1:8" ht="13">
      <c r="A157" s="521">
        <f>A149+1</f>
        <v>79</v>
      </c>
      <c r="C157" s="510" t="s">
        <v>180</v>
      </c>
      <c r="D157" s="1166">
        <v>2018</v>
      </c>
      <c r="E157" s="1072">
        <v>774692622.82999992</v>
      </c>
      <c r="F157" s="1072">
        <v>105527701.63699973</v>
      </c>
      <c r="G157" s="7">
        <f t="shared" ref="G157:G169" si="15">E157-F157</f>
        <v>669164921.1930002</v>
      </c>
      <c r="H157" s="7">
        <f>E157-E157</f>
        <v>0</v>
      </c>
    </row>
    <row r="158" spans="1:8" ht="13">
      <c r="A158" s="521">
        <f>A157+1</f>
        <v>80</v>
      </c>
      <c r="C158" s="510" t="s">
        <v>181</v>
      </c>
      <c r="D158" s="632">
        <v>2019</v>
      </c>
      <c r="E158" s="1072">
        <v>774692622.82999992</v>
      </c>
      <c r="F158" s="1072">
        <v>107171760.92935821</v>
      </c>
      <c r="G158" s="7">
        <f t="shared" si="15"/>
        <v>667520861.90064168</v>
      </c>
      <c r="H158" s="7">
        <f>E158-E157</f>
        <v>0</v>
      </c>
    </row>
    <row r="159" spans="1:8" ht="13">
      <c r="A159" s="521">
        <f t="shared" ref="A159:A169" si="16">A158+1</f>
        <v>81</v>
      </c>
      <c r="C159" s="508" t="s">
        <v>182</v>
      </c>
      <c r="D159" s="632">
        <v>2019</v>
      </c>
      <c r="E159" s="1072">
        <v>774692622.82999992</v>
      </c>
      <c r="F159" s="1072">
        <v>108815820.22171672</v>
      </c>
      <c r="G159" s="7">
        <f t="shared" si="15"/>
        <v>665876802.60828316</v>
      </c>
      <c r="H159" s="7">
        <f t="shared" ref="H159:H169" si="17">E159-E158</f>
        <v>0</v>
      </c>
    </row>
    <row r="160" spans="1:8" ht="13">
      <c r="A160" s="521">
        <f t="shared" si="16"/>
        <v>82</v>
      </c>
      <c r="C160" s="508" t="s">
        <v>195</v>
      </c>
      <c r="D160" s="632">
        <v>2019</v>
      </c>
      <c r="E160" s="1072">
        <v>774692622.82999992</v>
      </c>
      <c r="F160" s="1072">
        <v>110459879.5140752</v>
      </c>
      <c r="G160" s="7">
        <f t="shared" si="15"/>
        <v>664232743.31592476</v>
      </c>
      <c r="H160" s="7">
        <f t="shared" si="17"/>
        <v>0</v>
      </c>
    </row>
    <row r="161" spans="1:8" ht="13">
      <c r="A161" s="521">
        <f t="shared" si="16"/>
        <v>83</v>
      </c>
      <c r="C161" s="510" t="s">
        <v>183</v>
      </c>
      <c r="D161" s="632">
        <v>2019</v>
      </c>
      <c r="E161" s="1072">
        <v>774692622.82999992</v>
      </c>
      <c r="F161" s="1072">
        <v>112103938.80643374</v>
      </c>
      <c r="G161" s="7">
        <f t="shared" si="15"/>
        <v>662588684.02356625</v>
      </c>
      <c r="H161" s="7">
        <f t="shared" si="17"/>
        <v>0</v>
      </c>
    </row>
    <row r="162" spans="1:8" ht="13">
      <c r="A162" s="521">
        <f t="shared" si="16"/>
        <v>84</v>
      </c>
      <c r="C162" s="508" t="s">
        <v>184</v>
      </c>
      <c r="D162" s="632">
        <v>2019</v>
      </c>
      <c r="E162" s="1072">
        <v>774693439.91999984</v>
      </c>
      <c r="F162" s="1072">
        <v>113747998.09879223</v>
      </c>
      <c r="G162" s="7">
        <f t="shared" si="15"/>
        <v>660945441.82120764</v>
      </c>
      <c r="H162" s="7">
        <f t="shared" si="17"/>
        <v>817.08999991416931</v>
      </c>
    </row>
    <row r="163" spans="1:8" ht="13">
      <c r="A163" s="521">
        <f t="shared" si="16"/>
        <v>85</v>
      </c>
      <c r="C163" s="508" t="s">
        <v>185</v>
      </c>
      <c r="D163" s="632">
        <v>2019</v>
      </c>
      <c r="E163" s="1072">
        <v>774695010.89999986</v>
      </c>
      <c r="F163" s="1072">
        <v>115392059.11082514</v>
      </c>
      <c r="G163" s="7">
        <f t="shared" si="15"/>
        <v>659302951.78917468</v>
      </c>
      <c r="H163" s="7">
        <f t="shared" si="17"/>
        <v>1570.9800000190735</v>
      </c>
    </row>
    <row r="164" spans="1:8" ht="13">
      <c r="A164" s="521">
        <f t="shared" si="16"/>
        <v>86</v>
      </c>
      <c r="C164" s="510" t="s">
        <v>186</v>
      </c>
      <c r="D164" s="632">
        <v>2019</v>
      </c>
      <c r="E164" s="1072">
        <v>774695348.47999978</v>
      </c>
      <c r="F164" s="1072">
        <v>117036123.39135939</v>
      </c>
      <c r="G164" s="7">
        <f t="shared" si="15"/>
        <v>657659225.08864045</v>
      </c>
      <c r="H164" s="7">
        <f t="shared" si="17"/>
        <v>337.57999992370605</v>
      </c>
    </row>
    <row r="165" spans="1:8" ht="13">
      <c r="A165" s="521">
        <f t="shared" si="16"/>
        <v>87</v>
      </c>
      <c r="C165" s="508" t="s">
        <v>187</v>
      </c>
      <c r="D165" s="632">
        <v>2019</v>
      </c>
      <c r="E165" s="1072">
        <v>774699160.31999993</v>
      </c>
      <c r="F165" s="1072">
        <v>118680188.30964246</v>
      </c>
      <c r="G165" s="7">
        <f t="shared" si="15"/>
        <v>656018972.0103575</v>
      </c>
      <c r="H165" s="7">
        <f t="shared" si="17"/>
        <v>3811.8400001525879</v>
      </c>
    </row>
    <row r="166" spans="1:8" ht="13">
      <c r="A166" s="521">
        <f t="shared" si="16"/>
        <v>88</v>
      </c>
      <c r="C166" s="508" t="s">
        <v>188</v>
      </c>
      <c r="D166" s="632">
        <v>2019</v>
      </c>
      <c r="E166" s="1072">
        <v>774699193.5999999</v>
      </c>
      <c r="F166" s="1072">
        <v>120324261.23480789</v>
      </c>
      <c r="G166" s="7">
        <f t="shared" si="15"/>
        <v>654374932.36519206</v>
      </c>
      <c r="H166" s="7">
        <f t="shared" si="17"/>
        <v>33.279999971389771</v>
      </c>
    </row>
    <row r="167" spans="1:8" ht="13">
      <c r="A167" s="521">
        <f t="shared" si="16"/>
        <v>89</v>
      </c>
      <c r="C167" s="510" t="s">
        <v>189</v>
      </c>
      <c r="D167" s="632">
        <v>2019</v>
      </c>
      <c r="E167" s="1072">
        <v>774699320.80999994</v>
      </c>
      <c r="F167" s="1072">
        <v>121968334.05354129</v>
      </c>
      <c r="G167" s="7">
        <f t="shared" si="15"/>
        <v>652730986.75645864</v>
      </c>
      <c r="H167" s="7">
        <f t="shared" si="17"/>
        <v>127.21000003814697</v>
      </c>
    </row>
    <row r="168" spans="1:8" ht="13">
      <c r="A168" s="521">
        <f t="shared" si="16"/>
        <v>90</v>
      </c>
      <c r="C168" s="510" t="s">
        <v>190</v>
      </c>
      <c r="D168" s="632">
        <v>2019</v>
      </c>
      <c r="E168" s="1072">
        <v>774699320.80999994</v>
      </c>
      <c r="F168" s="1072">
        <v>123719238.8904468</v>
      </c>
      <c r="G168" s="7">
        <f t="shared" si="15"/>
        <v>650980081.91955316</v>
      </c>
      <c r="H168" s="7">
        <f t="shared" si="17"/>
        <v>0</v>
      </c>
    </row>
    <row r="169" spans="1:8" ht="13">
      <c r="A169" s="521">
        <f t="shared" si="16"/>
        <v>91</v>
      </c>
      <c r="C169" s="510" t="s">
        <v>180</v>
      </c>
      <c r="D169" s="632">
        <v>2019</v>
      </c>
      <c r="E169" s="1072">
        <v>774699350.07999992</v>
      </c>
      <c r="F169" s="1072">
        <v>125531993.7143683</v>
      </c>
      <c r="G169" s="7">
        <f t="shared" si="15"/>
        <v>649167356.36563158</v>
      </c>
      <c r="H169" s="7">
        <f t="shared" si="17"/>
        <v>29.269999980926514</v>
      </c>
    </row>
    <row r="171" spans="1:8" ht="13">
      <c r="C171" s="189" t="s">
        <v>2344</v>
      </c>
      <c r="E171" s="84" t="s">
        <v>359</v>
      </c>
      <c r="F171" s="84" t="s">
        <v>343</v>
      </c>
      <c r="G171" s="84" t="s">
        <v>344</v>
      </c>
      <c r="H171" s="84" t="s">
        <v>345</v>
      </c>
    </row>
    <row r="172" spans="1:8">
      <c r="G172" s="485" t="s">
        <v>1654</v>
      </c>
      <c r="H172" s="485" t="s">
        <v>1655</v>
      </c>
    </row>
    <row r="173" spans="1:8" ht="13">
      <c r="C173" s="521" t="s">
        <v>531</v>
      </c>
      <c r="H173" s="477" t="s">
        <v>1656</v>
      </c>
    </row>
    <row r="174" spans="1:8" ht="13">
      <c r="C174" s="521" t="s">
        <v>193</v>
      </c>
      <c r="E174" s="521" t="s">
        <v>372</v>
      </c>
      <c r="F174" s="521" t="s">
        <v>1547</v>
      </c>
      <c r="G174" s="521" t="s">
        <v>998</v>
      </c>
      <c r="H174" s="521" t="s">
        <v>1122</v>
      </c>
    </row>
    <row r="175" spans="1:8" ht="13">
      <c r="C175" s="25" t="s">
        <v>192</v>
      </c>
      <c r="D175" s="25" t="s">
        <v>193</v>
      </c>
      <c r="E175" s="3" t="s">
        <v>1548</v>
      </c>
      <c r="F175" s="3" t="s">
        <v>1086</v>
      </c>
      <c r="G175" s="3" t="s">
        <v>3</v>
      </c>
      <c r="H175" s="3" t="s">
        <v>1543</v>
      </c>
    </row>
    <row r="176" spans="1:8" ht="13">
      <c r="A176" s="521">
        <f>A169+1</f>
        <v>92</v>
      </c>
      <c r="C176" s="510" t="s">
        <v>180</v>
      </c>
      <c r="D176" s="1166">
        <v>2018</v>
      </c>
      <c r="E176" s="1072">
        <v>0</v>
      </c>
      <c r="F176" s="1072">
        <v>0</v>
      </c>
      <c r="G176" s="7">
        <f t="shared" ref="G176:G188" si="18">E176-F176</f>
        <v>0</v>
      </c>
      <c r="H176" s="7">
        <f>E176-E176</f>
        <v>0</v>
      </c>
    </row>
    <row r="177" spans="1:8" ht="13">
      <c r="A177" s="521">
        <f>A176+1</f>
        <v>93</v>
      </c>
      <c r="C177" s="510" t="s">
        <v>181</v>
      </c>
      <c r="D177" s="632">
        <v>2019</v>
      </c>
      <c r="E177" s="1072">
        <v>0</v>
      </c>
      <c r="F177" s="1072">
        <v>0</v>
      </c>
      <c r="G177" s="7">
        <f t="shared" si="18"/>
        <v>0</v>
      </c>
      <c r="H177" s="7">
        <f>E177-E176</f>
        <v>0</v>
      </c>
    </row>
    <row r="178" spans="1:8" ht="13">
      <c r="A178" s="521">
        <f t="shared" ref="A178:A188" si="19">A177+1</f>
        <v>94</v>
      </c>
      <c r="C178" s="508" t="s">
        <v>182</v>
      </c>
      <c r="D178" s="632">
        <v>2019</v>
      </c>
      <c r="E178" s="1072">
        <v>0</v>
      </c>
      <c r="F178" s="1072">
        <v>0</v>
      </c>
      <c r="G178" s="7">
        <f t="shared" si="18"/>
        <v>0</v>
      </c>
      <c r="H178" s="7">
        <f t="shared" ref="H178:H188" si="20">E178-E177</f>
        <v>0</v>
      </c>
    </row>
    <row r="179" spans="1:8" ht="13">
      <c r="A179" s="521">
        <f t="shared" si="19"/>
        <v>95</v>
      </c>
      <c r="C179" s="508" t="s">
        <v>195</v>
      </c>
      <c r="D179" s="632">
        <v>2019</v>
      </c>
      <c r="E179" s="1072">
        <v>0</v>
      </c>
      <c r="F179" s="1072">
        <v>0</v>
      </c>
      <c r="G179" s="7">
        <f t="shared" si="18"/>
        <v>0</v>
      </c>
      <c r="H179" s="7">
        <f t="shared" si="20"/>
        <v>0</v>
      </c>
    </row>
    <row r="180" spans="1:8" ht="13">
      <c r="A180" s="521">
        <f t="shared" si="19"/>
        <v>96</v>
      </c>
      <c r="C180" s="510" t="s">
        <v>183</v>
      </c>
      <c r="D180" s="632">
        <v>2019</v>
      </c>
      <c r="E180" s="1072">
        <v>0</v>
      </c>
      <c r="F180" s="1072">
        <v>0</v>
      </c>
      <c r="G180" s="7">
        <f t="shared" si="18"/>
        <v>0</v>
      </c>
      <c r="H180" s="7">
        <f t="shared" si="20"/>
        <v>0</v>
      </c>
    </row>
    <row r="181" spans="1:8" ht="13">
      <c r="A181" s="521">
        <f t="shared" si="19"/>
        <v>97</v>
      </c>
      <c r="C181" s="508" t="s">
        <v>184</v>
      </c>
      <c r="D181" s="632">
        <v>2019</v>
      </c>
      <c r="E181" s="1072">
        <v>0</v>
      </c>
      <c r="F181" s="1072">
        <v>0</v>
      </c>
      <c r="G181" s="7">
        <f t="shared" si="18"/>
        <v>0</v>
      </c>
      <c r="H181" s="7">
        <f t="shared" si="20"/>
        <v>0</v>
      </c>
    </row>
    <row r="182" spans="1:8" ht="13">
      <c r="A182" s="521">
        <f t="shared" si="19"/>
        <v>98</v>
      </c>
      <c r="C182" s="508" t="s">
        <v>185</v>
      </c>
      <c r="D182" s="632">
        <v>2019</v>
      </c>
      <c r="E182" s="1072">
        <v>0</v>
      </c>
      <c r="F182" s="1072">
        <v>0</v>
      </c>
      <c r="G182" s="7">
        <f t="shared" si="18"/>
        <v>0</v>
      </c>
      <c r="H182" s="7">
        <f t="shared" si="20"/>
        <v>0</v>
      </c>
    </row>
    <row r="183" spans="1:8" ht="13">
      <c r="A183" s="521">
        <f t="shared" si="19"/>
        <v>99</v>
      </c>
      <c r="C183" s="510" t="s">
        <v>186</v>
      </c>
      <c r="D183" s="632">
        <v>2019</v>
      </c>
      <c r="E183" s="1072">
        <v>0</v>
      </c>
      <c r="F183" s="1072">
        <v>0</v>
      </c>
      <c r="G183" s="7">
        <f t="shared" si="18"/>
        <v>0</v>
      </c>
      <c r="H183" s="7">
        <f t="shared" si="20"/>
        <v>0</v>
      </c>
    </row>
    <row r="184" spans="1:8" ht="13">
      <c r="A184" s="521">
        <f t="shared" si="19"/>
        <v>100</v>
      </c>
      <c r="C184" s="508" t="s">
        <v>187</v>
      </c>
      <c r="D184" s="632">
        <v>2019</v>
      </c>
      <c r="E184" s="1072">
        <v>0</v>
      </c>
      <c r="F184" s="1072">
        <v>0</v>
      </c>
      <c r="G184" s="7">
        <f t="shared" si="18"/>
        <v>0</v>
      </c>
      <c r="H184" s="7">
        <f t="shared" si="20"/>
        <v>0</v>
      </c>
    </row>
    <row r="185" spans="1:8" ht="13">
      <c r="A185" s="521">
        <f t="shared" si="19"/>
        <v>101</v>
      </c>
      <c r="C185" s="508" t="s">
        <v>188</v>
      </c>
      <c r="D185" s="632">
        <v>2019</v>
      </c>
      <c r="E185" s="1072">
        <v>0</v>
      </c>
      <c r="F185" s="1072">
        <v>0</v>
      </c>
      <c r="G185" s="7">
        <f t="shared" si="18"/>
        <v>0</v>
      </c>
      <c r="H185" s="7">
        <f t="shared" si="20"/>
        <v>0</v>
      </c>
    </row>
    <row r="186" spans="1:8" ht="13">
      <c r="A186" s="521">
        <f t="shared" si="19"/>
        <v>102</v>
      </c>
      <c r="C186" s="510" t="s">
        <v>189</v>
      </c>
      <c r="D186" s="632">
        <v>2019</v>
      </c>
      <c r="E186" s="1072">
        <v>0</v>
      </c>
      <c r="F186" s="1072">
        <v>0</v>
      </c>
      <c r="G186" s="7">
        <f t="shared" si="18"/>
        <v>0</v>
      </c>
      <c r="H186" s="7">
        <f t="shared" si="20"/>
        <v>0</v>
      </c>
    </row>
    <row r="187" spans="1:8" ht="13">
      <c r="A187" s="521">
        <f t="shared" si="19"/>
        <v>103</v>
      </c>
      <c r="C187" s="510" t="s">
        <v>190</v>
      </c>
      <c r="D187" s="632">
        <v>2019</v>
      </c>
      <c r="E187" s="1072">
        <v>0</v>
      </c>
      <c r="F187" s="1072">
        <v>0</v>
      </c>
      <c r="G187" s="7">
        <f t="shared" si="18"/>
        <v>0</v>
      </c>
      <c r="H187" s="7">
        <f t="shared" si="20"/>
        <v>0</v>
      </c>
    </row>
    <row r="188" spans="1:8" ht="13">
      <c r="A188" s="521">
        <f t="shared" si="19"/>
        <v>104</v>
      </c>
      <c r="C188" s="510" t="s">
        <v>180</v>
      </c>
      <c r="D188" s="632">
        <v>2019</v>
      </c>
      <c r="E188" s="1072">
        <v>0</v>
      </c>
      <c r="F188" s="1072">
        <v>0</v>
      </c>
      <c r="G188" s="7">
        <f t="shared" si="18"/>
        <v>0</v>
      </c>
      <c r="H188" s="7">
        <f t="shared" si="20"/>
        <v>0</v>
      </c>
    </row>
    <row r="190" spans="1:8" ht="13">
      <c r="C190" s="189" t="s">
        <v>2345</v>
      </c>
      <c r="E190" s="84" t="s">
        <v>359</v>
      </c>
      <c r="F190" s="84" t="s">
        <v>343</v>
      </c>
      <c r="G190" s="84" t="s">
        <v>344</v>
      </c>
      <c r="H190" s="84" t="s">
        <v>345</v>
      </c>
    </row>
    <row r="191" spans="1:8">
      <c r="G191" s="485" t="s">
        <v>1654</v>
      </c>
      <c r="H191" s="485" t="s">
        <v>1655</v>
      </c>
    </row>
    <row r="192" spans="1:8" ht="13">
      <c r="C192" s="521" t="s">
        <v>531</v>
      </c>
      <c r="H192" s="477" t="s">
        <v>1656</v>
      </c>
    </row>
    <row r="193" spans="1:8" ht="13">
      <c r="C193" s="521" t="s">
        <v>193</v>
      </c>
      <c r="E193" s="521" t="s">
        <v>372</v>
      </c>
      <c r="F193" s="521" t="s">
        <v>1547</v>
      </c>
      <c r="G193" s="521" t="s">
        <v>998</v>
      </c>
      <c r="H193" s="521" t="s">
        <v>1122</v>
      </c>
    </row>
    <row r="194" spans="1:8" ht="13">
      <c r="C194" s="25" t="s">
        <v>192</v>
      </c>
      <c r="D194" s="25" t="s">
        <v>193</v>
      </c>
      <c r="E194" s="3" t="s">
        <v>1548</v>
      </c>
      <c r="F194" s="3" t="s">
        <v>1086</v>
      </c>
      <c r="G194" s="3" t="s">
        <v>3</v>
      </c>
      <c r="H194" s="3" t="s">
        <v>1543</v>
      </c>
    </row>
    <row r="195" spans="1:8" ht="13">
      <c r="A195" s="521">
        <f>A188+1</f>
        <v>105</v>
      </c>
      <c r="C195" s="510" t="s">
        <v>180</v>
      </c>
      <c r="D195" s="1166">
        <v>2018</v>
      </c>
      <c r="E195" s="1072">
        <v>3046911.14</v>
      </c>
      <c r="F195" s="1072">
        <v>24982.966493333333</v>
      </c>
      <c r="G195" s="7">
        <f t="shared" ref="G195:G207" si="21">E195-F195</f>
        <v>3021928.1735066669</v>
      </c>
      <c r="H195" s="7">
        <f>E195-E195</f>
        <v>0</v>
      </c>
    </row>
    <row r="196" spans="1:8" ht="13">
      <c r="A196" s="521">
        <f>A195+1</f>
        <v>106</v>
      </c>
      <c r="C196" s="510" t="s">
        <v>181</v>
      </c>
      <c r="D196" s="632">
        <v>2019</v>
      </c>
      <c r="E196" s="1072">
        <v>3084212.95</v>
      </c>
      <c r="F196" s="1072">
        <v>31254.525256500001</v>
      </c>
      <c r="G196" s="7">
        <f t="shared" si="21"/>
        <v>3052958.4247435001</v>
      </c>
      <c r="H196" s="7">
        <f>E196-E195</f>
        <v>37301.810000000056</v>
      </c>
    </row>
    <row r="197" spans="1:8" ht="13">
      <c r="A197" s="521">
        <f t="shared" ref="A197:A207" si="22">A196+1</f>
        <v>107</v>
      </c>
      <c r="C197" s="508" t="s">
        <v>182</v>
      </c>
      <c r="D197" s="632">
        <v>2019</v>
      </c>
      <c r="E197" s="1072">
        <v>3091993.4200000004</v>
      </c>
      <c r="F197" s="1072">
        <v>37602.863578583332</v>
      </c>
      <c r="G197" s="7">
        <f t="shared" si="21"/>
        <v>3054390.5564214173</v>
      </c>
      <c r="H197" s="7">
        <f t="shared" ref="H197:H207" si="23">E197-E196</f>
        <v>7780.4700000002049</v>
      </c>
    </row>
    <row r="198" spans="1:8" ht="13">
      <c r="A198" s="521">
        <f t="shared" si="22"/>
        <v>108</v>
      </c>
      <c r="C198" s="508" t="s">
        <v>195</v>
      </c>
      <c r="D198" s="632">
        <v>2019</v>
      </c>
      <c r="E198" s="1072">
        <v>3120340.6200000006</v>
      </c>
      <c r="F198" s="1072">
        <v>43967.21670141667</v>
      </c>
      <c r="G198" s="7">
        <f t="shared" si="21"/>
        <v>3076373.4032985838</v>
      </c>
      <c r="H198" s="7">
        <f t="shared" si="23"/>
        <v>28347.200000000186</v>
      </c>
    </row>
    <row r="199" spans="1:8" ht="13">
      <c r="A199" s="521">
        <f t="shared" si="22"/>
        <v>109</v>
      </c>
      <c r="C199" s="510" t="s">
        <v>183</v>
      </c>
      <c r="D199" s="632">
        <v>2019</v>
      </c>
      <c r="E199" s="1072">
        <v>3144961.8000000007</v>
      </c>
      <c r="F199" s="1072">
        <v>50389.917810916675</v>
      </c>
      <c r="G199" s="7">
        <f t="shared" si="21"/>
        <v>3094571.8821890838</v>
      </c>
      <c r="H199" s="7">
        <f t="shared" si="23"/>
        <v>24621.180000000168</v>
      </c>
    </row>
    <row r="200" spans="1:8" ht="13">
      <c r="A200" s="521">
        <f t="shared" si="22"/>
        <v>110</v>
      </c>
      <c r="C200" s="508" t="s">
        <v>184</v>
      </c>
      <c r="D200" s="632">
        <v>2019</v>
      </c>
      <c r="E200" s="1072">
        <v>3151141.7100000009</v>
      </c>
      <c r="F200" s="1072">
        <v>56863.297515916667</v>
      </c>
      <c r="G200" s="7">
        <f t="shared" si="21"/>
        <v>3094278.4124840843</v>
      </c>
      <c r="H200" s="7">
        <f t="shared" si="23"/>
        <v>6179.910000000149</v>
      </c>
    </row>
    <row r="201" spans="1:8" ht="13">
      <c r="A201" s="521">
        <f t="shared" si="22"/>
        <v>111</v>
      </c>
      <c r="C201" s="508" t="s">
        <v>185</v>
      </c>
      <c r="D201" s="632">
        <v>2019</v>
      </c>
      <c r="E201" s="1072">
        <v>3151900.370000001</v>
      </c>
      <c r="F201" s="1072">
        <v>63349.397535666678</v>
      </c>
      <c r="G201" s="7">
        <f t="shared" si="21"/>
        <v>3088550.9724643342</v>
      </c>
      <c r="H201" s="7">
        <f t="shared" si="23"/>
        <v>758.66000000014901</v>
      </c>
    </row>
    <row r="202" spans="1:8" ht="13">
      <c r="A202" s="521">
        <f t="shared" si="22"/>
        <v>112</v>
      </c>
      <c r="C202" s="510" t="s">
        <v>186</v>
      </c>
      <c r="D202" s="632">
        <v>2019</v>
      </c>
      <c r="E202" s="1072">
        <v>3152039.4600000009</v>
      </c>
      <c r="F202" s="1072">
        <v>69837.059130583337</v>
      </c>
      <c r="G202" s="7">
        <f t="shared" si="21"/>
        <v>3082202.4008694175</v>
      </c>
      <c r="H202" s="7">
        <f t="shared" si="23"/>
        <v>139.08999999985099</v>
      </c>
    </row>
    <row r="203" spans="1:8" ht="13">
      <c r="A203" s="521">
        <f t="shared" si="22"/>
        <v>113</v>
      </c>
      <c r="C203" s="508" t="s">
        <v>187</v>
      </c>
      <c r="D203" s="632">
        <v>2019</v>
      </c>
      <c r="E203" s="1072">
        <v>3155354.0200000009</v>
      </c>
      <c r="F203" s="1072">
        <v>76325.00701908335</v>
      </c>
      <c r="G203" s="7">
        <f t="shared" si="21"/>
        <v>3079029.0129809175</v>
      </c>
      <c r="H203" s="7">
        <f t="shared" si="23"/>
        <v>3314.5600000000559</v>
      </c>
    </row>
    <row r="204" spans="1:8" ht="13">
      <c r="A204" s="521">
        <f t="shared" si="22"/>
        <v>114</v>
      </c>
      <c r="C204" s="508" t="s">
        <v>188</v>
      </c>
      <c r="D204" s="632">
        <v>2019</v>
      </c>
      <c r="E204" s="1072">
        <v>3156224.790000001</v>
      </c>
      <c r="F204" s="1072">
        <v>82819.777376916696</v>
      </c>
      <c r="G204" s="7">
        <f t="shared" si="21"/>
        <v>3073405.0126230842</v>
      </c>
      <c r="H204" s="7">
        <f t="shared" si="23"/>
        <v>870.77000000001863</v>
      </c>
    </row>
    <row r="205" spans="1:8" ht="13">
      <c r="A205" s="521">
        <f t="shared" si="22"/>
        <v>115</v>
      </c>
      <c r="C205" s="510" t="s">
        <v>189</v>
      </c>
      <c r="D205" s="632">
        <v>2019</v>
      </c>
      <c r="E205" s="1072">
        <v>3156346.3000000007</v>
      </c>
      <c r="F205" s="1072">
        <v>89316.340069666694</v>
      </c>
      <c r="G205" s="7">
        <f t="shared" si="21"/>
        <v>3067029.9599303342</v>
      </c>
      <c r="H205" s="7">
        <f t="shared" si="23"/>
        <v>121.50999999977648</v>
      </c>
    </row>
    <row r="206" spans="1:8" ht="13">
      <c r="A206" s="521">
        <f t="shared" si="22"/>
        <v>116</v>
      </c>
      <c r="C206" s="510" t="s">
        <v>190</v>
      </c>
      <c r="D206" s="632">
        <v>2019</v>
      </c>
      <c r="E206" s="1072">
        <v>3156346.3000000007</v>
      </c>
      <c r="F206" s="1072">
        <v>96429.517161861135</v>
      </c>
      <c r="G206" s="7">
        <f t="shared" si="21"/>
        <v>3059916.7828381397</v>
      </c>
      <c r="H206" s="7">
        <f t="shared" si="23"/>
        <v>0</v>
      </c>
    </row>
    <row r="207" spans="1:8" ht="13">
      <c r="A207" s="521">
        <f t="shared" si="22"/>
        <v>117</v>
      </c>
      <c r="C207" s="510" t="s">
        <v>180</v>
      </c>
      <c r="D207" s="632">
        <v>2019</v>
      </c>
      <c r="E207" s="1072">
        <v>3156346.3000000007</v>
      </c>
      <c r="F207" s="1072">
        <v>103899.53673852779</v>
      </c>
      <c r="G207" s="7">
        <f t="shared" si="21"/>
        <v>3052446.7632614728</v>
      </c>
      <c r="H207" s="7">
        <f t="shared" si="23"/>
        <v>0</v>
      </c>
    </row>
    <row r="209" spans="1:8" ht="13">
      <c r="C209" s="189" t="s">
        <v>1551</v>
      </c>
      <c r="E209" s="84" t="s">
        <v>359</v>
      </c>
      <c r="F209" s="84" t="s">
        <v>343</v>
      </c>
      <c r="G209" s="84" t="s">
        <v>344</v>
      </c>
      <c r="H209" s="84" t="s">
        <v>345</v>
      </c>
    </row>
    <row r="210" spans="1:8">
      <c r="G210" s="485" t="s">
        <v>1654</v>
      </c>
      <c r="H210" s="485" t="s">
        <v>1655</v>
      </c>
    </row>
    <row r="211" spans="1:8" ht="13">
      <c r="C211" s="521" t="s">
        <v>531</v>
      </c>
      <c r="H211" s="477" t="s">
        <v>1656</v>
      </c>
    </row>
    <row r="212" spans="1:8" ht="13">
      <c r="C212" s="521" t="s">
        <v>193</v>
      </c>
      <c r="E212" s="521" t="s">
        <v>372</v>
      </c>
      <c r="F212" s="521" t="s">
        <v>1547</v>
      </c>
      <c r="G212" s="521" t="s">
        <v>998</v>
      </c>
      <c r="H212" s="521" t="s">
        <v>1122</v>
      </c>
    </row>
    <row r="213" spans="1:8" ht="13">
      <c r="C213" s="25" t="s">
        <v>192</v>
      </c>
      <c r="D213" s="25" t="s">
        <v>193</v>
      </c>
      <c r="E213" s="3" t="s">
        <v>1548</v>
      </c>
      <c r="F213" s="3" t="s">
        <v>1086</v>
      </c>
      <c r="G213" s="3" t="s">
        <v>3</v>
      </c>
      <c r="H213" s="3" t="s">
        <v>1543</v>
      </c>
    </row>
    <row r="214" spans="1:8" ht="13">
      <c r="A214" s="521">
        <f>A207+1</f>
        <v>118</v>
      </c>
      <c r="C214" s="510" t="s">
        <v>180</v>
      </c>
      <c r="D214" s="1166">
        <v>2018</v>
      </c>
      <c r="E214" s="1072">
        <v>235653780.98999995</v>
      </c>
      <c r="F214" s="1072">
        <v>31507861.621809158</v>
      </c>
      <c r="G214" s="7">
        <f t="shared" ref="G214:G226" si="24">E214-F214</f>
        <v>204145919.3681908</v>
      </c>
      <c r="H214" s="7">
        <f>E214-E214</f>
        <v>0</v>
      </c>
    </row>
    <row r="215" spans="1:8" ht="13">
      <c r="A215" s="521">
        <f>A214+1</f>
        <v>119</v>
      </c>
      <c r="C215" s="510" t="s">
        <v>181</v>
      </c>
      <c r="D215" s="632">
        <v>2019</v>
      </c>
      <c r="E215" s="1072">
        <v>235653780.98999995</v>
      </c>
      <c r="F215" s="1072">
        <v>32004612.322411489</v>
      </c>
      <c r="G215" s="7">
        <f t="shared" si="24"/>
        <v>203649168.66758847</v>
      </c>
      <c r="H215" s="7">
        <f>E215-E214</f>
        <v>0</v>
      </c>
    </row>
    <row r="216" spans="1:8" ht="13">
      <c r="A216" s="521">
        <f t="shared" ref="A216:A226" si="25">A215+1</f>
        <v>120</v>
      </c>
      <c r="C216" s="508" t="s">
        <v>182</v>
      </c>
      <c r="D216" s="632">
        <v>2019</v>
      </c>
      <c r="E216" s="1072">
        <v>235653780.98999995</v>
      </c>
      <c r="F216" s="1072">
        <v>32501363.023013823</v>
      </c>
      <c r="G216" s="7">
        <f t="shared" si="24"/>
        <v>203152417.96698612</v>
      </c>
      <c r="H216" s="7">
        <f t="shared" ref="H216:H226" si="26">E216-E215</f>
        <v>0</v>
      </c>
    </row>
    <row r="217" spans="1:8" ht="13">
      <c r="A217" s="521">
        <f t="shared" si="25"/>
        <v>121</v>
      </c>
      <c r="C217" s="508" t="s">
        <v>195</v>
      </c>
      <c r="D217" s="632">
        <v>2019</v>
      </c>
      <c r="E217" s="1072">
        <v>235653780.98999995</v>
      </c>
      <c r="F217" s="1072">
        <v>32998113.723616153</v>
      </c>
      <c r="G217" s="7">
        <f t="shared" si="24"/>
        <v>202655667.2663838</v>
      </c>
      <c r="H217" s="7">
        <f t="shared" si="26"/>
        <v>0</v>
      </c>
    </row>
    <row r="218" spans="1:8" ht="13">
      <c r="A218" s="521">
        <f t="shared" si="25"/>
        <v>122</v>
      </c>
      <c r="C218" s="510" t="s">
        <v>183</v>
      </c>
      <c r="D218" s="632">
        <v>2019</v>
      </c>
      <c r="E218" s="1072">
        <v>235653780.98999995</v>
      </c>
      <c r="F218" s="1072">
        <v>33494864.424218491</v>
      </c>
      <c r="G218" s="7">
        <f t="shared" si="24"/>
        <v>202158916.56578147</v>
      </c>
      <c r="H218" s="7">
        <f t="shared" si="26"/>
        <v>0</v>
      </c>
    </row>
    <row r="219" spans="1:8" ht="13">
      <c r="A219" s="521">
        <f t="shared" si="25"/>
        <v>123</v>
      </c>
      <c r="C219" s="508" t="s">
        <v>184</v>
      </c>
      <c r="D219" s="632">
        <v>2019</v>
      </c>
      <c r="E219" s="1072">
        <v>235653780.98999995</v>
      </c>
      <c r="F219" s="1072">
        <v>33991615.124820828</v>
      </c>
      <c r="G219" s="7">
        <f t="shared" si="24"/>
        <v>201662165.86517912</v>
      </c>
      <c r="H219" s="7">
        <f t="shared" si="26"/>
        <v>0</v>
      </c>
    </row>
    <row r="220" spans="1:8" ht="13">
      <c r="A220" s="521">
        <f t="shared" si="25"/>
        <v>124</v>
      </c>
      <c r="C220" s="508" t="s">
        <v>185</v>
      </c>
      <c r="D220" s="632">
        <v>2019</v>
      </c>
      <c r="E220" s="1072">
        <v>235653780.98999995</v>
      </c>
      <c r="F220" s="1072">
        <v>34488365.825423151</v>
      </c>
      <c r="G220" s="7">
        <f t="shared" si="24"/>
        <v>201165415.1645768</v>
      </c>
      <c r="H220" s="7">
        <f t="shared" si="26"/>
        <v>0</v>
      </c>
    </row>
    <row r="221" spans="1:8" ht="13">
      <c r="A221" s="521">
        <f t="shared" si="25"/>
        <v>125</v>
      </c>
      <c r="C221" s="510" t="s">
        <v>186</v>
      </c>
      <c r="D221" s="632">
        <v>2019</v>
      </c>
      <c r="E221" s="1072">
        <v>235653780.98999995</v>
      </c>
      <c r="F221" s="1072">
        <v>34985116.526025489</v>
      </c>
      <c r="G221" s="7">
        <f t="shared" si="24"/>
        <v>200668664.46397448</v>
      </c>
      <c r="H221" s="7">
        <f t="shared" si="26"/>
        <v>0</v>
      </c>
    </row>
    <row r="222" spans="1:8" ht="13">
      <c r="A222" s="521">
        <f t="shared" si="25"/>
        <v>126</v>
      </c>
      <c r="C222" s="508" t="s">
        <v>187</v>
      </c>
      <c r="D222" s="632">
        <v>2019</v>
      </c>
      <c r="E222" s="1072">
        <v>235653780.98999995</v>
      </c>
      <c r="F222" s="1072">
        <v>35481867.226627819</v>
      </c>
      <c r="G222" s="7">
        <f t="shared" si="24"/>
        <v>200171913.76337212</v>
      </c>
      <c r="H222" s="7">
        <f t="shared" si="26"/>
        <v>0</v>
      </c>
    </row>
    <row r="223" spans="1:8" ht="13">
      <c r="A223" s="521">
        <f t="shared" si="25"/>
        <v>127</v>
      </c>
      <c r="C223" s="508" t="s">
        <v>188</v>
      </c>
      <c r="D223" s="632">
        <v>2019</v>
      </c>
      <c r="E223" s="1072">
        <v>235653780.98999995</v>
      </c>
      <c r="F223" s="1072">
        <v>35978617.92723015</v>
      </c>
      <c r="G223" s="7">
        <f t="shared" si="24"/>
        <v>199675163.0627698</v>
      </c>
      <c r="H223" s="7">
        <f t="shared" si="26"/>
        <v>0</v>
      </c>
    </row>
    <row r="224" spans="1:8" ht="13">
      <c r="A224" s="521">
        <f t="shared" si="25"/>
        <v>128</v>
      </c>
      <c r="C224" s="510" t="s">
        <v>189</v>
      </c>
      <c r="D224" s="632">
        <v>2019</v>
      </c>
      <c r="E224" s="1072">
        <v>235653780.98999995</v>
      </c>
      <c r="F224" s="1072">
        <v>36475368.627832495</v>
      </c>
      <c r="G224" s="7">
        <f t="shared" si="24"/>
        <v>199178412.36216745</v>
      </c>
      <c r="H224" s="7">
        <f t="shared" si="26"/>
        <v>0</v>
      </c>
    </row>
    <row r="225" spans="1:8" ht="13">
      <c r="A225" s="521">
        <f t="shared" si="25"/>
        <v>129</v>
      </c>
      <c r="C225" s="510" t="s">
        <v>190</v>
      </c>
      <c r="D225" s="632">
        <v>2019</v>
      </c>
      <c r="E225" s="1072">
        <v>235653780.98999995</v>
      </c>
      <c r="F225" s="1072">
        <v>36990109.477842763</v>
      </c>
      <c r="G225" s="7">
        <f t="shared" si="24"/>
        <v>198663671.5121572</v>
      </c>
      <c r="H225" s="7">
        <f t="shared" si="26"/>
        <v>0</v>
      </c>
    </row>
    <row r="226" spans="1:8" ht="13">
      <c r="A226" s="521">
        <f t="shared" si="25"/>
        <v>130</v>
      </c>
      <c r="C226" s="510" t="s">
        <v>180</v>
      </c>
      <c r="D226" s="632">
        <v>2019</v>
      </c>
      <c r="E226" s="1072">
        <v>235653780.98999995</v>
      </c>
      <c r="F226" s="1072">
        <v>37515265.677510254</v>
      </c>
      <c r="G226" s="7">
        <f t="shared" si="24"/>
        <v>198138515.31248969</v>
      </c>
      <c r="H226" s="7">
        <f t="shared" si="26"/>
        <v>0</v>
      </c>
    </row>
    <row r="228" spans="1:8" ht="13">
      <c r="C228" s="189" t="s">
        <v>1587</v>
      </c>
      <c r="H228" s="84" t="s">
        <v>345</v>
      </c>
    </row>
    <row r="229" spans="1:8" ht="13">
      <c r="E229" s="84" t="s">
        <v>359</v>
      </c>
      <c r="F229" s="84" t="s">
        <v>343</v>
      </c>
      <c r="G229" s="84" t="s">
        <v>344</v>
      </c>
      <c r="H229" s="485" t="s">
        <v>1655</v>
      </c>
    </row>
    <row r="230" spans="1:8" ht="13">
      <c r="C230" s="521" t="s">
        <v>531</v>
      </c>
      <c r="G230" s="485" t="s">
        <v>1654</v>
      </c>
      <c r="H230" s="477" t="s">
        <v>1656</v>
      </c>
    </row>
    <row r="231" spans="1:8" ht="13">
      <c r="C231" s="521" t="s">
        <v>193</v>
      </c>
      <c r="E231" s="521" t="s">
        <v>372</v>
      </c>
      <c r="F231" s="521" t="s">
        <v>1547</v>
      </c>
      <c r="G231" s="521" t="s">
        <v>998</v>
      </c>
      <c r="H231" s="521" t="s">
        <v>1122</v>
      </c>
    </row>
    <row r="232" spans="1:8" ht="13">
      <c r="C232" s="25" t="s">
        <v>192</v>
      </c>
      <c r="D232" s="25" t="s">
        <v>193</v>
      </c>
      <c r="E232" s="3" t="s">
        <v>1548</v>
      </c>
      <c r="F232" s="3" t="s">
        <v>1086</v>
      </c>
      <c r="G232" s="3" t="s">
        <v>3</v>
      </c>
      <c r="H232" s="3" t="s">
        <v>1543</v>
      </c>
    </row>
    <row r="233" spans="1:8" ht="13">
      <c r="A233" s="521">
        <f>A226+1</f>
        <v>131</v>
      </c>
      <c r="C233" s="510" t="s">
        <v>180</v>
      </c>
      <c r="D233" s="1166">
        <v>2018</v>
      </c>
      <c r="E233" s="1072">
        <v>87571819.89000003</v>
      </c>
      <c r="F233" s="1072">
        <v>7061028.9865846671</v>
      </c>
      <c r="G233" s="7">
        <f t="shared" ref="G233:G245" si="27">E233-F233</f>
        <v>80510790.903415367</v>
      </c>
      <c r="H233" s="7">
        <f>E233-E233</f>
        <v>0</v>
      </c>
    </row>
    <row r="234" spans="1:8" ht="13">
      <c r="A234" s="521">
        <f>A233+1</f>
        <v>132</v>
      </c>
      <c r="C234" s="510" t="s">
        <v>181</v>
      </c>
      <c r="D234" s="632">
        <v>2019</v>
      </c>
      <c r="E234" s="1072">
        <v>87575646.26000002</v>
      </c>
      <c r="F234" s="1072">
        <v>7241381.754407418</v>
      </c>
      <c r="G234" s="7">
        <f t="shared" si="27"/>
        <v>80334264.5055926</v>
      </c>
      <c r="H234" s="7">
        <f>E234-E233</f>
        <v>3826.3699999898672</v>
      </c>
    </row>
    <row r="235" spans="1:8" ht="13">
      <c r="A235" s="521">
        <f t="shared" ref="A235:A245" si="28">A234+1</f>
        <v>133</v>
      </c>
      <c r="C235" s="508" t="s">
        <v>182</v>
      </c>
      <c r="D235" s="632">
        <v>2019</v>
      </c>
      <c r="E235" s="1072">
        <v>87581454.440000027</v>
      </c>
      <c r="F235" s="1072">
        <v>7421742.3982575852</v>
      </c>
      <c r="G235" s="7">
        <f t="shared" si="27"/>
        <v>80159712.041742444</v>
      </c>
      <c r="H235" s="7">
        <f t="shared" ref="H235:H245" si="29">E235-E234</f>
        <v>5808.1800000071526</v>
      </c>
    </row>
    <row r="236" spans="1:8" ht="13">
      <c r="A236" s="521">
        <f t="shared" si="28"/>
        <v>134</v>
      </c>
      <c r="C236" s="508" t="s">
        <v>195</v>
      </c>
      <c r="D236" s="632">
        <v>2019</v>
      </c>
      <c r="E236" s="1072">
        <v>87584451.50000003</v>
      </c>
      <c r="F236" s="1072">
        <v>7602114.9972782508</v>
      </c>
      <c r="G236" s="7">
        <f t="shared" si="27"/>
        <v>79982336.502721786</v>
      </c>
      <c r="H236" s="7">
        <f t="shared" si="29"/>
        <v>2997.0600000023842</v>
      </c>
    </row>
    <row r="237" spans="1:8" ht="13">
      <c r="A237" s="521">
        <f t="shared" si="28"/>
        <v>135</v>
      </c>
      <c r="C237" s="510" t="s">
        <v>183</v>
      </c>
      <c r="D237" s="632">
        <v>2019</v>
      </c>
      <c r="E237" s="1072">
        <v>87584293.680000037</v>
      </c>
      <c r="F237" s="1072">
        <v>7782493.7663882514</v>
      </c>
      <c r="G237" s="7">
        <f t="shared" si="27"/>
        <v>79801799.913611785</v>
      </c>
      <c r="H237" s="7">
        <f t="shared" si="29"/>
        <v>-157.81999999284744</v>
      </c>
    </row>
    <row r="238" spans="1:8" ht="13">
      <c r="A238" s="521">
        <f t="shared" si="28"/>
        <v>136</v>
      </c>
      <c r="C238" s="508" t="s">
        <v>184</v>
      </c>
      <c r="D238" s="632">
        <v>2019</v>
      </c>
      <c r="E238" s="1072">
        <v>87584457.970000029</v>
      </c>
      <c r="F238" s="1072">
        <v>7962872.2105354182</v>
      </c>
      <c r="G238" s="7">
        <f t="shared" si="27"/>
        <v>79621585.759464607</v>
      </c>
      <c r="H238" s="7">
        <f t="shared" si="29"/>
        <v>164.28999999165535</v>
      </c>
    </row>
    <row r="239" spans="1:8" ht="13">
      <c r="A239" s="521">
        <f t="shared" si="28"/>
        <v>137</v>
      </c>
      <c r="C239" s="508" t="s">
        <v>185</v>
      </c>
      <c r="D239" s="632">
        <v>2019</v>
      </c>
      <c r="E239" s="1072">
        <v>87588108.790000021</v>
      </c>
      <c r="F239" s="1072">
        <v>8143250.9929336682</v>
      </c>
      <c r="G239" s="7">
        <f t="shared" si="27"/>
        <v>79444857.797066361</v>
      </c>
      <c r="H239" s="7">
        <f t="shared" si="29"/>
        <v>3650.8199999928474</v>
      </c>
    </row>
    <row r="240" spans="1:8" ht="13">
      <c r="A240" s="521">
        <f t="shared" si="28"/>
        <v>138</v>
      </c>
      <c r="C240" s="510" t="s">
        <v>186</v>
      </c>
      <c r="D240" s="632">
        <v>2019</v>
      </c>
      <c r="E240" s="1072">
        <v>87588176.930000022</v>
      </c>
      <c r="F240" s="1072">
        <v>8323637.2900164183</v>
      </c>
      <c r="G240" s="7">
        <f t="shared" si="27"/>
        <v>79264539.639983609</v>
      </c>
      <c r="H240" s="7">
        <f t="shared" si="29"/>
        <v>68.140000000596046</v>
      </c>
    </row>
    <row r="241" spans="1:8" ht="13">
      <c r="A241" s="521">
        <f t="shared" si="28"/>
        <v>139</v>
      </c>
      <c r="C241" s="508" t="s">
        <v>187</v>
      </c>
      <c r="D241" s="632">
        <v>2019</v>
      </c>
      <c r="E241" s="1072">
        <v>87602865.730000019</v>
      </c>
      <c r="F241" s="1072">
        <v>8504023.7273540013</v>
      </c>
      <c r="G241" s="7">
        <f t="shared" si="27"/>
        <v>79098842.002646014</v>
      </c>
      <c r="H241" s="7">
        <f t="shared" si="29"/>
        <v>14688.79999999702</v>
      </c>
    </row>
    <row r="242" spans="1:8" ht="13">
      <c r="A242" s="521">
        <f t="shared" si="28"/>
        <v>140</v>
      </c>
      <c r="C242" s="508" t="s">
        <v>188</v>
      </c>
      <c r="D242" s="632">
        <v>2019</v>
      </c>
      <c r="E242" s="1072">
        <v>87603313.350000024</v>
      </c>
      <c r="F242" s="1072">
        <v>8684440.4063349199</v>
      </c>
      <c r="G242" s="7">
        <f t="shared" si="27"/>
        <v>78918872.943665102</v>
      </c>
      <c r="H242" s="7">
        <f t="shared" si="29"/>
        <v>447.62000000476837</v>
      </c>
    </row>
    <row r="243" spans="1:8" ht="13">
      <c r="A243" s="521">
        <f t="shared" si="28"/>
        <v>141</v>
      </c>
      <c r="C243" s="510" t="s">
        <v>189</v>
      </c>
      <c r="D243" s="632">
        <v>2019</v>
      </c>
      <c r="E243" s="1072">
        <v>87603588.700000018</v>
      </c>
      <c r="F243" s="1072">
        <v>8864858.0067486688</v>
      </c>
      <c r="G243" s="7">
        <f t="shared" si="27"/>
        <v>78738730.693251342</v>
      </c>
      <c r="H243" s="7">
        <f t="shared" si="29"/>
        <v>275.34999999403954</v>
      </c>
    </row>
    <row r="244" spans="1:8" ht="13">
      <c r="A244" s="521">
        <f t="shared" si="28"/>
        <v>142</v>
      </c>
      <c r="C244" s="510" t="s">
        <v>190</v>
      </c>
      <c r="D244" s="632">
        <v>2019</v>
      </c>
      <c r="E244" s="1072">
        <v>87603588.700000018</v>
      </c>
      <c r="F244" s="1072">
        <v>9062044.9213551674</v>
      </c>
      <c r="G244" s="7">
        <f t="shared" si="27"/>
        <v>78541543.778644845</v>
      </c>
      <c r="H244" s="7">
        <f t="shared" si="29"/>
        <v>0</v>
      </c>
    </row>
    <row r="245" spans="1:8" ht="13">
      <c r="A245" s="521">
        <f t="shared" si="28"/>
        <v>143</v>
      </c>
      <c r="C245" s="510" t="s">
        <v>180</v>
      </c>
      <c r="D245" s="632">
        <v>2019</v>
      </c>
      <c r="E245" s="1072">
        <v>87605814.650000021</v>
      </c>
      <c r="F245" s="1072">
        <v>9268940.0580676682</v>
      </c>
      <c r="G245" s="7">
        <f t="shared" si="27"/>
        <v>78336874.591932356</v>
      </c>
      <c r="H245" s="7">
        <f t="shared" si="29"/>
        <v>2225.9500000029802</v>
      </c>
    </row>
    <row r="247" spans="1:8" ht="13">
      <c r="C247" s="189" t="s">
        <v>1588</v>
      </c>
      <c r="H247" s="84" t="s">
        <v>345</v>
      </c>
    </row>
    <row r="248" spans="1:8" ht="13">
      <c r="E248" s="84" t="s">
        <v>359</v>
      </c>
      <c r="F248" s="84" t="s">
        <v>343</v>
      </c>
      <c r="G248" s="84" t="s">
        <v>344</v>
      </c>
      <c r="H248" s="485" t="s">
        <v>1655</v>
      </c>
    </row>
    <row r="249" spans="1:8" ht="13">
      <c r="C249" s="521" t="s">
        <v>531</v>
      </c>
      <c r="G249" s="485" t="s">
        <v>1654</v>
      </c>
      <c r="H249" s="477" t="s">
        <v>1656</v>
      </c>
    </row>
    <row r="250" spans="1:8" ht="13">
      <c r="C250" s="521" t="s">
        <v>193</v>
      </c>
      <c r="E250" s="521" t="s">
        <v>372</v>
      </c>
      <c r="F250" s="521" t="s">
        <v>1547</v>
      </c>
      <c r="G250" s="521" t="s">
        <v>998</v>
      </c>
      <c r="H250" s="521" t="s">
        <v>1122</v>
      </c>
    </row>
    <row r="251" spans="1:8" ht="13">
      <c r="C251" s="25" t="s">
        <v>192</v>
      </c>
      <c r="D251" s="25" t="s">
        <v>193</v>
      </c>
      <c r="E251" s="3" t="s">
        <v>1548</v>
      </c>
      <c r="F251" s="3" t="s">
        <v>1086</v>
      </c>
      <c r="G251" s="3" t="s">
        <v>3</v>
      </c>
      <c r="H251" s="3" t="s">
        <v>1543</v>
      </c>
    </row>
    <row r="252" spans="1:8" ht="13">
      <c r="A252" s="521">
        <f>A245+1</f>
        <v>144</v>
      </c>
      <c r="C252" s="510" t="s">
        <v>180</v>
      </c>
      <c r="D252" s="1166">
        <v>2018</v>
      </c>
      <c r="E252" s="1072">
        <v>71454672.110000044</v>
      </c>
      <c r="F252" s="1072">
        <v>9546889.4922696687</v>
      </c>
      <c r="G252" s="7">
        <f t="shared" ref="G252:G264" si="30">E252-F252</f>
        <v>61907782.617730379</v>
      </c>
      <c r="H252" s="7">
        <f>E252-E252</f>
        <v>0</v>
      </c>
    </row>
    <row r="253" spans="1:8" ht="13">
      <c r="A253" s="521">
        <f>A252+1</f>
        <v>145</v>
      </c>
      <c r="C253" s="510" t="s">
        <v>181</v>
      </c>
      <c r="D253" s="632">
        <v>2019</v>
      </c>
      <c r="E253" s="1072">
        <v>71454672.110000044</v>
      </c>
      <c r="F253" s="1072">
        <v>9694957.665733587</v>
      </c>
      <c r="G253" s="7">
        <f t="shared" si="30"/>
        <v>61759714.444266453</v>
      </c>
      <c r="H253" s="7">
        <f>E253-E252</f>
        <v>0</v>
      </c>
    </row>
    <row r="254" spans="1:8" ht="13">
      <c r="A254" s="521">
        <f t="shared" ref="A254:A264" si="31">A253+1</f>
        <v>146</v>
      </c>
      <c r="C254" s="508" t="s">
        <v>182</v>
      </c>
      <c r="D254" s="632">
        <v>2019</v>
      </c>
      <c r="E254" s="1072">
        <v>71454672.110000044</v>
      </c>
      <c r="F254" s="1072">
        <v>9843025.8391975015</v>
      </c>
      <c r="G254" s="7">
        <f t="shared" si="30"/>
        <v>61611646.270802543</v>
      </c>
      <c r="H254" s="7">
        <f t="shared" ref="H254:H264" si="32">E254-E253</f>
        <v>0</v>
      </c>
    </row>
    <row r="255" spans="1:8" ht="13">
      <c r="A255" s="521">
        <f t="shared" si="31"/>
        <v>147</v>
      </c>
      <c r="C255" s="508" t="s">
        <v>195</v>
      </c>
      <c r="D255" s="632">
        <v>2019</v>
      </c>
      <c r="E255" s="1072">
        <v>71454672.110000044</v>
      </c>
      <c r="F255" s="1072">
        <v>9991094.0126614179</v>
      </c>
      <c r="G255" s="7">
        <f t="shared" si="30"/>
        <v>61463578.097338624</v>
      </c>
      <c r="H255" s="7">
        <f t="shared" si="32"/>
        <v>0</v>
      </c>
    </row>
    <row r="256" spans="1:8" ht="13">
      <c r="A256" s="521">
        <f t="shared" si="31"/>
        <v>148</v>
      </c>
      <c r="C256" s="510" t="s">
        <v>183</v>
      </c>
      <c r="D256" s="632">
        <v>2019</v>
      </c>
      <c r="E256" s="1072">
        <v>71454672.110000044</v>
      </c>
      <c r="F256" s="1072">
        <v>10139162.186125334</v>
      </c>
      <c r="G256" s="7">
        <f t="shared" si="30"/>
        <v>61315509.923874706</v>
      </c>
      <c r="H256" s="7">
        <f t="shared" si="32"/>
        <v>0</v>
      </c>
    </row>
    <row r="257" spans="1:8" ht="13">
      <c r="A257" s="521">
        <f t="shared" si="31"/>
        <v>149</v>
      </c>
      <c r="C257" s="508" t="s">
        <v>184</v>
      </c>
      <c r="D257" s="632">
        <v>2019</v>
      </c>
      <c r="E257" s="1072">
        <v>71454672.110000044</v>
      </c>
      <c r="F257" s="1072">
        <v>10287230.359589253</v>
      </c>
      <c r="G257" s="7">
        <f t="shared" si="30"/>
        <v>61167441.750410795</v>
      </c>
      <c r="H257" s="7">
        <f t="shared" si="32"/>
        <v>0</v>
      </c>
    </row>
    <row r="258" spans="1:8" ht="13">
      <c r="A258" s="521">
        <f t="shared" si="31"/>
        <v>150</v>
      </c>
      <c r="C258" s="508" t="s">
        <v>185</v>
      </c>
      <c r="D258" s="632">
        <v>2019</v>
      </c>
      <c r="E258" s="1072">
        <v>71454672.110000044</v>
      </c>
      <c r="F258" s="1072">
        <v>10435298.533053169</v>
      </c>
      <c r="G258" s="7">
        <f t="shared" si="30"/>
        <v>61019373.576946877</v>
      </c>
      <c r="H258" s="7">
        <f t="shared" si="32"/>
        <v>0</v>
      </c>
    </row>
    <row r="259" spans="1:8" ht="13">
      <c r="A259" s="521">
        <f t="shared" si="31"/>
        <v>151</v>
      </c>
      <c r="C259" s="510" t="s">
        <v>186</v>
      </c>
      <c r="D259" s="632">
        <v>2019</v>
      </c>
      <c r="E259" s="1072">
        <v>71454672.110000044</v>
      </c>
      <c r="F259" s="1072">
        <v>10583366.706517085</v>
      </c>
      <c r="G259" s="7">
        <f t="shared" si="30"/>
        <v>60871305.403482959</v>
      </c>
      <c r="H259" s="7">
        <f t="shared" si="32"/>
        <v>0</v>
      </c>
    </row>
    <row r="260" spans="1:8" ht="13">
      <c r="A260" s="521">
        <f t="shared" si="31"/>
        <v>152</v>
      </c>
      <c r="C260" s="508" t="s">
        <v>187</v>
      </c>
      <c r="D260" s="632">
        <v>2019</v>
      </c>
      <c r="E260" s="1072">
        <v>71454672.110000044</v>
      </c>
      <c r="F260" s="1072">
        <v>10731434.879981002</v>
      </c>
      <c r="G260" s="7">
        <f t="shared" si="30"/>
        <v>60723237.23001904</v>
      </c>
      <c r="H260" s="7">
        <f t="shared" si="32"/>
        <v>0</v>
      </c>
    </row>
    <row r="261" spans="1:8" ht="13">
      <c r="A261" s="521">
        <f t="shared" si="31"/>
        <v>153</v>
      </c>
      <c r="C261" s="508" t="s">
        <v>188</v>
      </c>
      <c r="D261" s="632">
        <v>2019</v>
      </c>
      <c r="E261" s="1072">
        <v>71454672.110000044</v>
      </c>
      <c r="F261" s="1072">
        <v>10879503.053444918</v>
      </c>
      <c r="G261" s="7">
        <f t="shared" si="30"/>
        <v>60575169.056555122</v>
      </c>
      <c r="H261" s="7">
        <f t="shared" si="32"/>
        <v>0</v>
      </c>
    </row>
    <row r="262" spans="1:8" ht="13">
      <c r="A262" s="521">
        <f t="shared" si="31"/>
        <v>154</v>
      </c>
      <c r="C262" s="510" t="s">
        <v>189</v>
      </c>
      <c r="D262" s="632">
        <v>2019</v>
      </c>
      <c r="E262" s="1072">
        <v>71454672.110000044</v>
      </c>
      <c r="F262" s="1072">
        <v>11027571.226908835</v>
      </c>
      <c r="G262" s="7">
        <f t="shared" si="30"/>
        <v>60427100.883091211</v>
      </c>
      <c r="H262" s="7">
        <f t="shared" si="32"/>
        <v>0</v>
      </c>
    </row>
    <row r="263" spans="1:8" ht="13">
      <c r="A263" s="521">
        <f t="shared" si="31"/>
        <v>155</v>
      </c>
      <c r="C263" s="510" t="s">
        <v>190</v>
      </c>
      <c r="D263" s="632">
        <v>2019</v>
      </c>
      <c r="E263" s="1072">
        <v>71454672.110000044</v>
      </c>
      <c r="F263" s="1072">
        <v>11186267.66156169</v>
      </c>
      <c r="G263" s="7">
        <f t="shared" si="30"/>
        <v>60268404.448438354</v>
      </c>
      <c r="H263" s="7">
        <f t="shared" si="32"/>
        <v>0</v>
      </c>
    </row>
    <row r="264" spans="1:8" ht="13">
      <c r="A264" s="521">
        <f t="shared" si="31"/>
        <v>156</v>
      </c>
      <c r="C264" s="510" t="s">
        <v>180</v>
      </c>
      <c r="D264" s="632">
        <v>2019</v>
      </c>
      <c r="E264" s="1072">
        <v>71454672.110000044</v>
      </c>
      <c r="F264" s="1072">
        <v>11351117.300060773</v>
      </c>
      <c r="G264" s="7">
        <f t="shared" si="30"/>
        <v>60103554.809939273</v>
      </c>
      <c r="H264" s="7">
        <f t="shared" si="32"/>
        <v>0</v>
      </c>
    </row>
    <row r="266" spans="1:8" ht="13">
      <c r="C266" s="1292" t="s">
        <v>2725</v>
      </c>
      <c r="E266" s="84" t="s">
        <v>359</v>
      </c>
      <c r="F266" s="84" t="s">
        <v>343</v>
      </c>
      <c r="G266" s="84" t="s">
        <v>344</v>
      </c>
      <c r="H266" s="84" t="s">
        <v>345</v>
      </c>
    </row>
    <row r="267" spans="1:8">
      <c r="G267" s="485" t="s">
        <v>1654</v>
      </c>
      <c r="H267" s="485" t="s">
        <v>1655</v>
      </c>
    </row>
    <row r="268" spans="1:8" ht="13">
      <c r="C268" s="521" t="s">
        <v>531</v>
      </c>
      <c r="H268" s="477" t="s">
        <v>1656</v>
      </c>
    </row>
    <row r="269" spans="1:8" ht="13">
      <c r="C269" s="521" t="s">
        <v>193</v>
      </c>
      <c r="E269" s="521" t="s">
        <v>372</v>
      </c>
      <c r="F269" s="521" t="s">
        <v>1547</v>
      </c>
      <c r="G269" s="521" t="s">
        <v>998</v>
      </c>
      <c r="H269" s="521" t="s">
        <v>1122</v>
      </c>
    </row>
    <row r="270" spans="1:8" ht="13">
      <c r="C270" s="25" t="s">
        <v>192</v>
      </c>
      <c r="D270" s="25" t="s">
        <v>193</v>
      </c>
      <c r="E270" s="3" t="s">
        <v>1548</v>
      </c>
      <c r="F270" s="3" t="s">
        <v>1086</v>
      </c>
      <c r="G270" s="3" t="s">
        <v>3</v>
      </c>
      <c r="H270" s="3" t="s">
        <v>1543</v>
      </c>
    </row>
    <row r="271" spans="1:8" ht="13">
      <c r="A271" s="521">
        <f>A264+1</f>
        <v>157</v>
      </c>
      <c r="C271" s="510" t="s">
        <v>180</v>
      </c>
      <c r="D271" s="1166">
        <v>2018</v>
      </c>
      <c r="E271" s="1072">
        <v>9207853.4755000006</v>
      </c>
      <c r="F271" s="1072">
        <v>99441.523526003337</v>
      </c>
      <c r="G271" s="7">
        <f t="shared" ref="G271:G283" si="33">E271-F271</f>
        <v>9108411.9519739971</v>
      </c>
      <c r="H271" s="7">
        <f>E271-E271</f>
        <v>0</v>
      </c>
    </row>
    <row r="272" spans="1:8" ht="13">
      <c r="A272" s="521">
        <f>A271+1</f>
        <v>158</v>
      </c>
      <c r="C272" s="510" t="s">
        <v>181</v>
      </c>
      <c r="D272" s="632">
        <v>2019</v>
      </c>
      <c r="E272" s="1072">
        <v>9210997.5655000005</v>
      </c>
      <c r="F272" s="1072">
        <v>115612.62110363666</v>
      </c>
      <c r="G272" s="7">
        <f t="shared" si="33"/>
        <v>9095384.9443963636</v>
      </c>
      <c r="H272" s="7">
        <f>E272-E271</f>
        <v>3144.089999999851</v>
      </c>
    </row>
    <row r="273" spans="1:8" ht="13">
      <c r="A273" s="521">
        <f t="shared" ref="A273:A283" si="34">A272+1</f>
        <v>159</v>
      </c>
      <c r="C273" s="508" t="s">
        <v>182</v>
      </c>
      <c r="D273" s="632">
        <v>2019</v>
      </c>
      <c r="E273" s="1072">
        <v>9215554.2955000009</v>
      </c>
      <c r="F273" s="1072">
        <v>131791.70991002</v>
      </c>
      <c r="G273" s="7">
        <f t="shared" si="33"/>
        <v>9083762.5855899807</v>
      </c>
      <c r="H273" s="7">
        <f t="shared" ref="H273:H283" si="35">E273-E272</f>
        <v>4556.730000000447</v>
      </c>
    </row>
    <row r="274" spans="1:8" ht="13">
      <c r="A274" s="521">
        <f t="shared" si="34"/>
        <v>160</v>
      </c>
      <c r="C274" s="508" t="s">
        <v>195</v>
      </c>
      <c r="D274" s="632">
        <v>2019</v>
      </c>
      <c r="E274" s="1072">
        <v>9221232.2555</v>
      </c>
      <c r="F274" s="1072">
        <v>147982.38040515332</v>
      </c>
      <c r="G274" s="7">
        <f t="shared" si="33"/>
        <v>9073249.8750948459</v>
      </c>
      <c r="H274" s="7">
        <f t="shared" si="35"/>
        <v>5677.9599999990314</v>
      </c>
    </row>
    <row r="275" spans="1:8" ht="13">
      <c r="A275" s="521">
        <f t="shared" si="34"/>
        <v>161</v>
      </c>
      <c r="C275" s="510" t="s">
        <v>183</v>
      </c>
      <c r="D275" s="632">
        <v>2019</v>
      </c>
      <c r="E275" s="1072">
        <v>9222912.7155000009</v>
      </c>
      <c r="F275" s="1072">
        <v>164187.4823819533</v>
      </c>
      <c r="G275" s="7">
        <f t="shared" si="33"/>
        <v>9058725.2331180479</v>
      </c>
      <c r="H275" s="7">
        <f t="shared" si="35"/>
        <v>1680.4600000008941</v>
      </c>
    </row>
    <row r="276" spans="1:8" ht="13">
      <c r="A276" s="521">
        <f t="shared" si="34"/>
        <v>162</v>
      </c>
      <c r="C276" s="508" t="s">
        <v>184</v>
      </c>
      <c r="D276" s="632">
        <v>2019</v>
      </c>
      <c r="E276" s="1072">
        <v>9224571.9254999999</v>
      </c>
      <c r="F276" s="1072">
        <v>180396.85552791998</v>
      </c>
      <c r="G276" s="7">
        <f t="shared" si="33"/>
        <v>9044175.0699720792</v>
      </c>
      <c r="H276" s="7">
        <f t="shared" si="35"/>
        <v>1659.2099999990314</v>
      </c>
    </row>
    <row r="277" spans="1:8" ht="13">
      <c r="A277" s="521">
        <f t="shared" si="34"/>
        <v>163</v>
      </c>
      <c r="C277" s="508" t="s">
        <v>185</v>
      </c>
      <c r="D277" s="632">
        <v>2019</v>
      </c>
      <c r="E277" s="1072">
        <v>9224571.9155000001</v>
      </c>
      <c r="F277" s="1072">
        <v>196610.44583263667</v>
      </c>
      <c r="G277" s="7">
        <f t="shared" si="33"/>
        <v>9027961.4696673639</v>
      </c>
      <c r="H277" s="7">
        <f t="shared" si="35"/>
        <v>-9.9999997764825821E-3</v>
      </c>
    </row>
    <row r="278" spans="1:8" ht="13">
      <c r="A278" s="521">
        <f t="shared" si="34"/>
        <v>164</v>
      </c>
      <c r="C278" s="510" t="s">
        <v>186</v>
      </c>
      <c r="D278" s="632">
        <v>2019</v>
      </c>
      <c r="E278" s="1072">
        <v>9262889.7155000009</v>
      </c>
      <c r="F278" s="1072">
        <v>212824.03611193664</v>
      </c>
      <c r="G278" s="7">
        <f t="shared" si="33"/>
        <v>9050065.6793880649</v>
      </c>
      <c r="H278" s="7">
        <f t="shared" si="35"/>
        <v>38317.800000000745</v>
      </c>
    </row>
    <row r="279" spans="1:8" ht="13">
      <c r="A279" s="521">
        <f t="shared" si="34"/>
        <v>165</v>
      </c>
      <c r="C279" s="508" t="s">
        <v>187</v>
      </c>
      <c r="D279" s="632">
        <v>2019</v>
      </c>
      <c r="E279" s="1072">
        <v>9267509.4155000001</v>
      </c>
      <c r="F279" s="1072">
        <v>229135.01746623666</v>
      </c>
      <c r="G279" s="7">
        <f t="shared" si="33"/>
        <v>9038374.3980337642</v>
      </c>
      <c r="H279" s="7">
        <f t="shared" si="35"/>
        <v>4619.6999999992549</v>
      </c>
    </row>
    <row r="280" spans="1:8" ht="13">
      <c r="A280" s="521">
        <f t="shared" si="34"/>
        <v>166</v>
      </c>
      <c r="C280" s="508" t="s">
        <v>188</v>
      </c>
      <c r="D280" s="632">
        <v>2019</v>
      </c>
      <c r="E280" s="1072">
        <v>9271948.9055000003</v>
      </c>
      <c r="F280" s="1072">
        <v>245457.74055803666</v>
      </c>
      <c r="G280" s="7">
        <f t="shared" si="33"/>
        <v>9026491.1649419628</v>
      </c>
      <c r="H280" s="7">
        <f t="shared" si="35"/>
        <v>4439.4900000002235</v>
      </c>
    </row>
    <row r="281" spans="1:8" ht="13">
      <c r="A281" s="521">
        <f t="shared" si="34"/>
        <v>167</v>
      </c>
      <c r="C281" s="510" t="s">
        <v>189</v>
      </c>
      <c r="D281" s="632">
        <v>2019</v>
      </c>
      <c r="E281" s="1072">
        <v>9276509.375500001</v>
      </c>
      <c r="F281" s="1072">
        <v>261791.74735358666</v>
      </c>
      <c r="G281" s="7">
        <f t="shared" si="33"/>
        <v>9014717.6281464137</v>
      </c>
      <c r="H281" s="7">
        <f t="shared" si="35"/>
        <v>4560.4700000006706</v>
      </c>
    </row>
    <row r="282" spans="1:8" ht="13">
      <c r="A282" s="521">
        <f t="shared" si="34"/>
        <v>168</v>
      </c>
      <c r="C282" s="510" t="s">
        <v>190</v>
      </c>
      <c r="D282" s="632">
        <v>2019</v>
      </c>
      <c r="E282" s="1072">
        <v>9276294.2155000009</v>
      </c>
      <c r="F282" s="1072">
        <v>279494.96706964885</v>
      </c>
      <c r="G282" s="7">
        <f t="shared" si="33"/>
        <v>8996799.2484303527</v>
      </c>
      <c r="H282" s="7">
        <f t="shared" si="35"/>
        <v>-215.16000000014901</v>
      </c>
    </row>
    <row r="283" spans="1:8" ht="13">
      <c r="A283" s="521">
        <f t="shared" si="34"/>
        <v>169</v>
      </c>
      <c r="C283" s="510" t="s">
        <v>180</v>
      </c>
      <c r="D283" s="632">
        <v>2019</v>
      </c>
      <c r="E283" s="1072">
        <v>153777247.10671204</v>
      </c>
      <c r="F283" s="1072">
        <v>297983.59737924888</v>
      </c>
      <c r="G283" s="7">
        <f t="shared" si="33"/>
        <v>153479263.50933281</v>
      </c>
      <c r="H283" s="7">
        <f t="shared" si="35"/>
        <v>144500952.89121205</v>
      </c>
    </row>
    <row r="285" spans="1:8" ht="13">
      <c r="C285" s="1292" t="s">
        <v>2726</v>
      </c>
      <c r="E285" s="84" t="s">
        <v>359</v>
      </c>
      <c r="F285" s="84" t="s">
        <v>343</v>
      </c>
      <c r="G285" s="84" t="s">
        <v>344</v>
      </c>
      <c r="H285" s="84" t="s">
        <v>345</v>
      </c>
    </row>
    <row r="286" spans="1:8">
      <c r="G286" s="485" t="s">
        <v>1654</v>
      </c>
      <c r="H286" s="485" t="s">
        <v>1655</v>
      </c>
    </row>
    <row r="287" spans="1:8" ht="13">
      <c r="C287" s="521" t="s">
        <v>531</v>
      </c>
      <c r="H287" s="477" t="s">
        <v>1656</v>
      </c>
    </row>
    <row r="288" spans="1:8" ht="13">
      <c r="C288" s="521" t="s">
        <v>193</v>
      </c>
      <c r="E288" s="521" t="s">
        <v>372</v>
      </c>
      <c r="F288" s="521" t="s">
        <v>1547</v>
      </c>
      <c r="G288" s="521" t="s">
        <v>998</v>
      </c>
      <c r="H288" s="521" t="s">
        <v>1122</v>
      </c>
    </row>
    <row r="289" spans="1:8" ht="13">
      <c r="C289" s="25" t="s">
        <v>192</v>
      </c>
      <c r="D289" s="25" t="s">
        <v>193</v>
      </c>
      <c r="E289" s="3" t="s">
        <v>1548</v>
      </c>
      <c r="F289" s="3" t="s">
        <v>1086</v>
      </c>
      <c r="G289" s="3" t="s">
        <v>3</v>
      </c>
      <c r="H289" s="3" t="s">
        <v>1543</v>
      </c>
    </row>
    <row r="290" spans="1:8" ht="13">
      <c r="A290" s="521">
        <f>A283+1</f>
        <v>170</v>
      </c>
      <c r="C290" s="510" t="s">
        <v>180</v>
      </c>
      <c r="D290" s="1166">
        <v>2018</v>
      </c>
      <c r="E290" s="1072">
        <v>0</v>
      </c>
      <c r="F290" s="1072">
        <v>0</v>
      </c>
      <c r="G290" s="7">
        <f t="shared" ref="G290:G302" si="36">E290-F290</f>
        <v>0</v>
      </c>
      <c r="H290" s="7">
        <f>E290-E290</f>
        <v>0</v>
      </c>
    </row>
    <row r="291" spans="1:8" ht="13">
      <c r="A291" s="521">
        <f>A290+1</f>
        <v>171</v>
      </c>
      <c r="C291" s="510" t="s">
        <v>181</v>
      </c>
      <c r="D291" s="632">
        <v>2019</v>
      </c>
      <c r="E291" s="1072">
        <v>0</v>
      </c>
      <c r="F291" s="1072">
        <v>0</v>
      </c>
      <c r="G291" s="7">
        <f t="shared" si="36"/>
        <v>0</v>
      </c>
      <c r="H291" s="7">
        <f>E291-E290</f>
        <v>0</v>
      </c>
    </row>
    <row r="292" spans="1:8" ht="13">
      <c r="A292" s="521">
        <f t="shared" ref="A292:A302" si="37">A291+1</f>
        <v>172</v>
      </c>
      <c r="C292" s="508" t="s">
        <v>182</v>
      </c>
      <c r="D292" s="632">
        <v>2019</v>
      </c>
      <c r="E292" s="1072">
        <v>0</v>
      </c>
      <c r="F292" s="1072">
        <v>0</v>
      </c>
      <c r="G292" s="7">
        <f t="shared" si="36"/>
        <v>0</v>
      </c>
      <c r="H292" s="7">
        <f t="shared" ref="H292:H302" si="38">E292-E291</f>
        <v>0</v>
      </c>
    </row>
    <row r="293" spans="1:8" ht="13">
      <c r="A293" s="521">
        <f t="shared" si="37"/>
        <v>173</v>
      </c>
      <c r="C293" s="508" t="s">
        <v>195</v>
      </c>
      <c r="D293" s="632">
        <v>2019</v>
      </c>
      <c r="E293" s="1072">
        <v>0</v>
      </c>
      <c r="F293" s="1072">
        <v>0</v>
      </c>
      <c r="G293" s="7">
        <f t="shared" si="36"/>
        <v>0</v>
      </c>
      <c r="H293" s="7">
        <f t="shared" si="38"/>
        <v>0</v>
      </c>
    </row>
    <row r="294" spans="1:8" ht="13">
      <c r="A294" s="521">
        <f t="shared" si="37"/>
        <v>174</v>
      </c>
      <c r="C294" s="510" t="s">
        <v>183</v>
      </c>
      <c r="D294" s="632">
        <v>2019</v>
      </c>
      <c r="E294" s="1072">
        <v>0</v>
      </c>
      <c r="F294" s="1072">
        <v>0</v>
      </c>
      <c r="G294" s="7">
        <f t="shared" si="36"/>
        <v>0</v>
      </c>
      <c r="H294" s="7">
        <f t="shared" si="38"/>
        <v>0</v>
      </c>
    </row>
    <row r="295" spans="1:8" ht="13">
      <c r="A295" s="521">
        <f t="shared" si="37"/>
        <v>175</v>
      </c>
      <c r="C295" s="508" t="s">
        <v>184</v>
      </c>
      <c r="D295" s="632">
        <v>2019</v>
      </c>
      <c r="E295" s="1072">
        <v>0</v>
      </c>
      <c r="F295" s="1072">
        <v>0</v>
      </c>
      <c r="G295" s="7">
        <f t="shared" si="36"/>
        <v>0</v>
      </c>
      <c r="H295" s="7">
        <f t="shared" si="38"/>
        <v>0</v>
      </c>
    </row>
    <row r="296" spans="1:8" ht="13">
      <c r="A296" s="521">
        <f t="shared" si="37"/>
        <v>176</v>
      </c>
      <c r="C296" s="508" t="s">
        <v>185</v>
      </c>
      <c r="D296" s="632">
        <v>2019</v>
      </c>
      <c r="E296" s="1072">
        <v>0</v>
      </c>
      <c r="F296" s="1072">
        <v>0</v>
      </c>
      <c r="G296" s="7">
        <f t="shared" si="36"/>
        <v>0</v>
      </c>
      <c r="H296" s="7">
        <f t="shared" si="38"/>
        <v>0</v>
      </c>
    </row>
    <row r="297" spans="1:8" ht="13">
      <c r="A297" s="521">
        <f t="shared" si="37"/>
        <v>177</v>
      </c>
      <c r="C297" s="510" t="s">
        <v>186</v>
      </c>
      <c r="D297" s="632">
        <v>2019</v>
      </c>
      <c r="E297" s="1072">
        <v>0</v>
      </c>
      <c r="F297" s="1072">
        <v>0</v>
      </c>
      <c r="G297" s="7">
        <f t="shared" si="36"/>
        <v>0</v>
      </c>
      <c r="H297" s="7">
        <f t="shared" si="38"/>
        <v>0</v>
      </c>
    </row>
    <row r="298" spans="1:8" ht="13">
      <c r="A298" s="521">
        <f t="shared" si="37"/>
        <v>178</v>
      </c>
      <c r="C298" s="508" t="s">
        <v>187</v>
      </c>
      <c r="D298" s="632">
        <v>2019</v>
      </c>
      <c r="E298" s="1072">
        <v>0</v>
      </c>
      <c r="F298" s="1072">
        <v>0</v>
      </c>
      <c r="G298" s="7">
        <f t="shared" si="36"/>
        <v>0</v>
      </c>
      <c r="H298" s="7">
        <f t="shared" si="38"/>
        <v>0</v>
      </c>
    </row>
    <row r="299" spans="1:8" ht="13">
      <c r="A299" s="521">
        <f t="shared" si="37"/>
        <v>179</v>
      </c>
      <c r="C299" s="508" t="s">
        <v>188</v>
      </c>
      <c r="D299" s="632">
        <v>2019</v>
      </c>
      <c r="E299" s="1072">
        <v>0</v>
      </c>
      <c r="F299" s="1072">
        <v>0</v>
      </c>
      <c r="G299" s="7">
        <f t="shared" si="36"/>
        <v>0</v>
      </c>
      <c r="H299" s="7">
        <f t="shared" si="38"/>
        <v>0</v>
      </c>
    </row>
    <row r="300" spans="1:8" ht="13">
      <c r="A300" s="521">
        <f t="shared" si="37"/>
        <v>180</v>
      </c>
      <c r="C300" s="510" t="s">
        <v>189</v>
      </c>
      <c r="D300" s="632">
        <v>2019</v>
      </c>
      <c r="E300" s="1072">
        <v>0</v>
      </c>
      <c r="F300" s="1072">
        <v>0</v>
      </c>
      <c r="G300" s="7">
        <f t="shared" si="36"/>
        <v>0</v>
      </c>
      <c r="H300" s="7">
        <f t="shared" si="38"/>
        <v>0</v>
      </c>
    </row>
    <row r="301" spans="1:8" ht="13">
      <c r="A301" s="521">
        <f t="shared" si="37"/>
        <v>181</v>
      </c>
      <c r="C301" s="510" t="s">
        <v>190</v>
      </c>
      <c r="D301" s="632">
        <v>2019</v>
      </c>
      <c r="E301" s="1072">
        <v>0</v>
      </c>
      <c r="F301" s="1072">
        <v>0</v>
      </c>
      <c r="G301" s="7">
        <f t="shared" si="36"/>
        <v>0</v>
      </c>
      <c r="H301" s="7">
        <f t="shared" si="38"/>
        <v>0</v>
      </c>
    </row>
    <row r="302" spans="1:8" ht="13">
      <c r="A302" s="521">
        <f t="shared" si="37"/>
        <v>182</v>
      </c>
      <c r="C302" s="510" t="s">
        <v>180</v>
      </c>
      <c r="D302" s="632">
        <v>2019</v>
      </c>
      <c r="E302" s="1072">
        <v>0</v>
      </c>
      <c r="F302" s="1072">
        <v>0</v>
      </c>
      <c r="G302" s="7">
        <f t="shared" si="36"/>
        <v>0</v>
      </c>
      <c r="H302" s="7">
        <f t="shared" si="38"/>
        <v>0</v>
      </c>
    </row>
    <row r="304" spans="1:8" ht="13">
      <c r="A304" s="1048"/>
      <c r="B304" s="1048"/>
      <c r="C304" s="1292" t="s">
        <v>2727</v>
      </c>
      <c r="D304" s="1048"/>
      <c r="E304" s="84" t="s">
        <v>359</v>
      </c>
      <c r="F304" s="84" t="s">
        <v>343</v>
      </c>
      <c r="G304" s="84" t="s">
        <v>344</v>
      </c>
      <c r="H304" s="84" t="s">
        <v>345</v>
      </c>
    </row>
    <row r="305" spans="1:8">
      <c r="A305" s="1048"/>
      <c r="B305" s="1048"/>
      <c r="C305" s="1048"/>
      <c r="D305" s="1048"/>
      <c r="E305" s="1048"/>
      <c r="F305" s="1048"/>
      <c r="G305" s="485" t="s">
        <v>1654</v>
      </c>
      <c r="H305" s="485" t="s">
        <v>1655</v>
      </c>
    </row>
    <row r="306" spans="1:8" ht="13">
      <c r="A306" s="1048"/>
      <c r="B306" s="1048"/>
      <c r="C306" s="572" t="s">
        <v>531</v>
      </c>
      <c r="D306" s="1048"/>
      <c r="E306" s="1048"/>
      <c r="F306" s="1048"/>
      <c r="G306" s="1048"/>
      <c r="H306" s="477" t="s">
        <v>1656</v>
      </c>
    </row>
    <row r="307" spans="1:8" ht="13">
      <c r="A307" s="1048"/>
      <c r="B307" s="1048"/>
      <c r="C307" s="572" t="s">
        <v>193</v>
      </c>
      <c r="D307" s="1048"/>
      <c r="E307" s="572" t="s">
        <v>372</v>
      </c>
      <c r="F307" s="572" t="s">
        <v>1547</v>
      </c>
      <c r="G307" s="572" t="s">
        <v>998</v>
      </c>
      <c r="H307" s="572" t="s">
        <v>1122</v>
      </c>
    </row>
    <row r="308" spans="1:8" ht="13">
      <c r="A308" s="1048"/>
      <c r="B308" s="1048"/>
      <c r="C308" s="25" t="s">
        <v>192</v>
      </c>
      <c r="D308" s="25" t="s">
        <v>193</v>
      </c>
      <c r="E308" s="3" t="s">
        <v>1548</v>
      </c>
      <c r="F308" s="3" t="s">
        <v>1086</v>
      </c>
      <c r="G308" s="3" t="s">
        <v>3</v>
      </c>
      <c r="H308" s="3" t="s">
        <v>1543</v>
      </c>
    </row>
    <row r="309" spans="1:8" ht="13">
      <c r="A309" s="572">
        <f>A302+1</f>
        <v>183</v>
      </c>
      <c r="B309" s="1048"/>
      <c r="C309" s="510" t="s">
        <v>180</v>
      </c>
      <c r="D309" s="1166">
        <v>2018</v>
      </c>
      <c r="E309" s="1072">
        <v>0</v>
      </c>
      <c r="F309" s="1072">
        <v>0</v>
      </c>
      <c r="G309" s="7">
        <f t="shared" ref="G309:G321" si="39">E309-F309</f>
        <v>0</v>
      </c>
      <c r="H309" s="7">
        <f>E309-E309</f>
        <v>0</v>
      </c>
    </row>
    <row r="310" spans="1:8" ht="13">
      <c r="A310" s="572">
        <f>A309+1</f>
        <v>184</v>
      </c>
      <c r="B310" s="1048"/>
      <c r="C310" s="510" t="s">
        <v>181</v>
      </c>
      <c r="D310" s="632">
        <v>2019</v>
      </c>
      <c r="E310" s="1072">
        <v>0</v>
      </c>
      <c r="F310" s="1072">
        <v>0</v>
      </c>
      <c r="G310" s="7">
        <f t="shared" si="39"/>
        <v>0</v>
      </c>
      <c r="H310" s="7">
        <f>E310-E309</f>
        <v>0</v>
      </c>
    </row>
    <row r="311" spans="1:8" ht="13">
      <c r="A311" s="572">
        <f t="shared" ref="A311:A321" si="40">A310+1</f>
        <v>185</v>
      </c>
      <c r="B311" s="1048"/>
      <c r="C311" s="508" t="s">
        <v>182</v>
      </c>
      <c r="D311" s="632">
        <v>2019</v>
      </c>
      <c r="E311" s="1072">
        <v>0</v>
      </c>
      <c r="F311" s="1072">
        <v>0</v>
      </c>
      <c r="G311" s="7">
        <f t="shared" si="39"/>
        <v>0</v>
      </c>
      <c r="H311" s="7">
        <f t="shared" ref="H311:H321" si="41">E311-E310</f>
        <v>0</v>
      </c>
    </row>
    <row r="312" spans="1:8" ht="13">
      <c r="A312" s="572">
        <f t="shared" si="40"/>
        <v>186</v>
      </c>
      <c r="B312" s="1048"/>
      <c r="C312" s="508" t="s">
        <v>195</v>
      </c>
      <c r="D312" s="632">
        <v>2019</v>
      </c>
      <c r="E312" s="1072">
        <v>0</v>
      </c>
      <c r="F312" s="1072">
        <v>0</v>
      </c>
      <c r="G312" s="7">
        <f t="shared" si="39"/>
        <v>0</v>
      </c>
      <c r="H312" s="7">
        <f t="shared" si="41"/>
        <v>0</v>
      </c>
    </row>
    <row r="313" spans="1:8" ht="13">
      <c r="A313" s="572">
        <f t="shared" si="40"/>
        <v>187</v>
      </c>
      <c r="B313" s="1048"/>
      <c r="C313" s="510" t="s">
        <v>183</v>
      </c>
      <c r="D313" s="632">
        <v>2019</v>
      </c>
      <c r="E313" s="1072">
        <v>0</v>
      </c>
      <c r="F313" s="1072">
        <v>0</v>
      </c>
      <c r="G313" s="7">
        <f t="shared" si="39"/>
        <v>0</v>
      </c>
      <c r="H313" s="7">
        <f t="shared" si="41"/>
        <v>0</v>
      </c>
    </row>
    <row r="314" spans="1:8" ht="13">
      <c r="A314" s="572">
        <f t="shared" si="40"/>
        <v>188</v>
      </c>
      <c r="B314" s="1048"/>
      <c r="C314" s="508" t="s">
        <v>184</v>
      </c>
      <c r="D314" s="632">
        <v>2019</v>
      </c>
      <c r="E314" s="1072">
        <v>0</v>
      </c>
      <c r="F314" s="1072">
        <v>0</v>
      </c>
      <c r="G314" s="7">
        <f t="shared" si="39"/>
        <v>0</v>
      </c>
      <c r="H314" s="7">
        <f t="shared" si="41"/>
        <v>0</v>
      </c>
    </row>
    <row r="315" spans="1:8" ht="13">
      <c r="A315" s="572">
        <f t="shared" si="40"/>
        <v>189</v>
      </c>
      <c r="B315" s="1048"/>
      <c r="C315" s="508" t="s">
        <v>185</v>
      </c>
      <c r="D315" s="632">
        <v>2019</v>
      </c>
      <c r="E315" s="1072">
        <v>0</v>
      </c>
      <c r="F315" s="1072">
        <v>0</v>
      </c>
      <c r="G315" s="7">
        <f t="shared" si="39"/>
        <v>0</v>
      </c>
      <c r="H315" s="7">
        <f t="shared" si="41"/>
        <v>0</v>
      </c>
    </row>
    <row r="316" spans="1:8" ht="13">
      <c r="A316" s="572">
        <f t="shared" si="40"/>
        <v>190</v>
      </c>
      <c r="B316" s="1048"/>
      <c r="C316" s="510" t="s">
        <v>186</v>
      </c>
      <c r="D316" s="632">
        <v>2019</v>
      </c>
      <c r="E316" s="1072">
        <v>0</v>
      </c>
      <c r="F316" s="1072">
        <v>0</v>
      </c>
      <c r="G316" s="7">
        <f t="shared" si="39"/>
        <v>0</v>
      </c>
      <c r="H316" s="7">
        <f t="shared" si="41"/>
        <v>0</v>
      </c>
    </row>
    <row r="317" spans="1:8" ht="13">
      <c r="A317" s="572">
        <f t="shared" si="40"/>
        <v>191</v>
      </c>
      <c r="B317" s="1048"/>
      <c r="C317" s="508" t="s">
        <v>187</v>
      </c>
      <c r="D317" s="632">
        <v>2019</v>
      </c>
      <c r="E317" s="1072">
        <v>0</v>
      </c>
      <c r="F317" s="1072">
        <v>0</v>
      </c>
      <c r="G317" s="7">
        <f t="shared" si="39"/>
        <v>0</v>
      </c>
      <c r="H317" s="7">
        <f t="shared" si="41"/>
        <v>0</v>
      </c>
    </row>
    <row r="318" spans="1:8" ht="13">
      <c r="A318" s="572">
        <f t="shared" si="40"/>
        <v>192</v>
      </c>
      <c r="B318" s="1048"/>
      <c r="C318" s="508" t="s">
        <v>188</v>
      </c>
      <c r="D318" s="632">
        <v>2019</v>
      </c>
      <c r="E318" s="1072">
        <v>0</v>
      </c>
      <c r="F318" s="1072">
        <v>0</v>
      </c>
      <c r="G318" s="7">
        <f t="shared" si="39"/>
        <v>0</v>
      </c>
      <c r="H318" s="7">
        <f t="shared" si="41"/>
        <v>0</v>
      </c>
    </row>
    <row r="319" spans="1:8" ht="13">
      <c r="A319" s="572">
        <f t="shared" si="40"/>
        <v>193</v>
      </c>
      <c r="B319" s="1048"/>
      <c r="C319" s="510" t="s">
        <v>189</v>
      </c>
      <c r="D319" s="632">
        <v>2019</v>
      </c>
      <c r="E319" s="1072">
        <v>0</v>
      </c>
      <c r="F319" s="1072">
        <v>0</v>
      </c>
      <c r="G319" s="7">
        <f t="shared" si="39"/>
        <v>0</v>
      </c>
      <c r="H319" s="7">
        <f t="shared" si="41"/>
        <v>0</v>
      </c>
    </row>
    <row r="320" spans="1:8" ht="13">
      <c r="A320" s="572">
        <f t="shared" si="40"/>
        <v>194</v>
      </c>
      <c r="B320" s="1048"/>
      <c r="C320" s="510" t="s">
        <v>190</v>
      </c>
      <c r="D320" s="632">
        <v>2019</v>
      </c>
      <c r="E320" s="1072">
        <v>0</v>
      </c>
      <c r="F320" s="1072">
        <v>0</v>
      </c>
      <c r="G320" s="7">
        <f t="shared" si="39"/>
        <v>0</v>
      </c>
      <c r="H320" s="7">
        <f t="shared" si="41"/>
        <v>0</v>
      </c>
    </row>
    <row r="321" spans="1:10" ht="13">
      <c r="A321" s="572">
        <f t="shared" si="40"/>
        <v>195</v>
      </c>
      <c r="B321" s="1048"/>
      <c r="C321" s="510" t="s">
        <v>180</v>
      </c>
      <c r="D321" s="632">
        <v>2019</v>
      </c>
      <c r="E321" s="1072">
        <v>0</v>
      </c>
      <c r="F321" s="1072">
        <v>0</v>
      </c>
      <c r="G321" s="7">
        <f t="shared" si="39"/>
        <v>0</v>
      </c>
      <c r="H321" s="7">
        <f t="shared" si="41"/>
        <v>0</v>
      </c>
    </row>
    <row r="322" spans="1:10" s="14" customFormat="1" ht="13">
      <c r="A322" s="109"/>
      <c r="C322" s="1229"/>
      <c r="D322" s="24"/>
      <c r="E322" s="63"/>
      <c r="F322" s="63"/>
      <c r="G322" s="63"/>
      <c r="H322" s="63"/>
    </row>
    <row r="323" spans="1:10" ht="13">
      <c r="B323" s="1"/>
      <c r="C323" s="1" t="s">
        <v>1552</v>
      </c>
      <c r="D323" s="474"/>
      <c r="E323" s="7"/>
    </row>
    <row r="324" spans="1:10" ht="13">
      <c r="B324" s="1"/>
    </row>
    <row r="325" spans="1:10" ht="13">
      <c r="C325" s="388" t="s">
        <v>2643</v>
      </c>
      <c r="D325" s="95"/>
      <c r="E325" s="95"/>
      <c r="F325" s="95"/>
      <c r="G325" s="188" t="s">
        <v>2644</v>
      </c>
      <c r="H325" s="95"/>
      <c r="I325" s="95"/>
      <c r="J325" s="95"/>
    </row>
    <row r="326" spans="1:10" ht="13">
      <c r="A326" s="521">
        <f>A321+1</f>
        <v>196</v>
      </c>
      <c r="C326" s="527" t="s">
        <v>2645</v>
      </c>
      <c r="D326" s="95"/>
      <c r="E326" s="389"/>
      <c r="F326" s="382" t="s">
        <v>221</v>
      </c>
      <c r="G326" s="486" t="s">
        <v>2646</v>
      </c>
      <c r="H326" s="95"/>
      <c r="I326" s="95"/>
      <c r="J326" s="95"/>
    </row>
    <row r="327" spans="1:10" ht="13">
      <c r="A327" s="521">
        <f>A326+1</f>
        <v>197</v>
      </c>
      <c r="C327" s="381" t="s">
        <v>2647</v>
      </c>
      <c r="D327" s="95"/>
      <c r="E327" s="390"/>
      <c r="F327" s="383">
        <v>7.4999999999999997E-3</v>
      </c>
      <c r="G327" s="486" t="s">
        <v>2648</v>
      </c>
      <c r="H327" s="95"/>
      <c r="I327" s="95"/>
      <c r="J327" s="95"/>
    </row>
    <row r="328" spans="1:10" ht="13">
      <c r="A328" s="521">
        <f>A327+1</f>
        <v>198</v>
      </c>
      <c r="C328" s="381" t="s">
        <v>2649</v>
      </c>
      <c r="D328" s="95"/>
      <c r="E328" s="389"/>
      <c r="F328" s="382" t="s">
        <v>222</v>
      </c>
      <c r="G328" s="148" t="s">
        <v>2650</v>
      </c>
      <c r="H328" s="95"/>
      <c r="I328" s="95"/>
      <c r="J328" s="95"/>
    </row>
    <row r="329" spans="1:10">
      <c r="C329" s="95"/>
      <c r="D329" s="95"/>
      <c r="E329" s="389"/>
      <c r="F329" s="384"/>
      <c r="G329" s="95"/>
      <c r="H329" s="95"/>
      <c r="I329" s="95"/>
      <c r="J329" s="95"/>
    </row>
    <row r="330" spans="1:10" ht="13">
      <c r="C330" s="388" t="s">
        <v>2651</v>
      </c>
      <c r="D330" s="95"/>
      <c r="E330" s="95"/>
      <c r="F330" s="384"/>
      <c r="G330" s="188" t="s">
        <v>2644</v>
      </c>
      <c r="H330" s="95"/>
      <c r="I330" s="95"/>
      <c r="J330" s="95"/>
    </row>
    <row r="331" spans="1:10" ht="13">
      <c r="A331" s="521">
        <f>A328+1</f>
        <v>199</v>
      </c>
      <c r="C331" s="527" t="s">
        <v>2645</v>
      </c>
      <c r="D331" s="95"/>
      <c r="E331" s="389"/>
      <c r="F331" s="382" t="s">
        <v>221</v>
      </c>
      <c r="G331" s="486" t="s">
        <v>2646</v>
      </c>
      <c r="H331" s="95"/>
      <c r="I331" s="95"/>
      <c r="J331" s="95"/>
    </row>
    <row r="332" spans="1:10" ht="13">
      <c r="A332" s="521">
        <f>A331+1</f>
        <v>200</v>
      </c>
      <c r="C332" s="381" t="s">
        <v>2647</v>
      </c>
      <c r="D332" s="95"/>
      <c r="E332" s="390"/>
      <c r="F332" s="383">
        <v>1.2500000000000001E-2</v>
      </c>
      <c r="G332" s="486" t="s">
        <v>2648</v>
      </c>
      <c r="H332" s="95"/>
      <c r="I332" s="95"/>
      <c r="J332" s="95"/>
    </row>
    <row r="333" spans="1:10" ht="13">
      <c r="A333" s="521">
        <f>A332+1</f>
        <v>201</v>
      </c>
      <c r="C333" s="381" t="s">
        <v>2649</v>
      </c>
      <c r="D333" s="95"/>
      <c r="E333" s="389"/>
      <c r="F333" s="382" t="s">
        <v>221</v>
      </c>
      <c r="G333" s="486" t="s">
        <v>2652</v>
      </c>
      <c r="H333" s="95"/>
      <c r="I333" s="95"/>
      <c r="J333" s="95"/>
    </row>
    <row r="334" spans="1:10">
      <c r="C334" s="381"/>
      <c r="D334" s="95"/>
      <c r="E334" s="389"/>
      <c r="F334" s="382"/>
      <c r="G334" s="95"/>
      <c r="H334" s="95"/>
      <c r="I334" s="95"/>
      <c r="J334" s="95"/>
    </row>
    <row r="335" spans="1:10" ht="13">
      <c r="C335" s="388" t="s">
        <v>2653</v>
      </c>
      <c r="D335" s="95"/>
      <c r="E335" s="486"/>
      <c r="F335" s="528"/>
      <c r="G335" s="188" t="s">
        <v>2644</v>
      </c>
      <c r="H335" s="95"/>
      <c r="I335" s="95"/>
      <c r="J335" s="95"/>
    </row>
    <row r="336" spans="1:10" ht="13">
      <c r="A336" s="521">
        <f>A333+1</f>
        <v>202</v>
      </c>
      <c r="C336" s="527" t="s">
        <v>2645</v>
      </c>
      <c r="D336" s="95"/>
      <c r="E336" s="389"/>
      <c r="F336" s="382" t="s">
        <v>221</v>
      </c>
      <c r="G336" s="486" t="s">
        <v>2646</v>
      </c>
      <c r="H336" s="95"/>
      <c r="I336" s="95"/>
      <c r="J336" s="95"/>
    </row>
    <row r="337" spans="1:10" ht="13">
      <c r="A337" s="521">
        <f>A336+1</f>
        <v>203</v>
      </c>
      <c r="C337" s="381" t="s">
        <v>2647</v>
      </c>
      <c r="D337" s="95"/>
      <c r="E337" s="390"/>
      <c r="F337" s="383">
        <v>0.01</v>
      </c>
      <c r="G337" s="486" t="s">
        <v>2654</v>
      </c>
      <c r="H337" s="95"/>
      <c r="I337" s="95"/>
      <c r="J337" s="95"/>
    </row>
    <row r="338" spans="1:10" ht="13">
      <c r="A338" s="521">
        <f>A337+1</f>
        <v>204</v>
      </c>
      <c r="C338" s="381"/>
      <c r="D338" s="95"/>
      <c r="E338" s="390"/>
      <c r="F338" s="383"/>
      <c r="G338" s="486" t="s">
        <v>2655</v>
      </c>
      <c r="H338" s="95"/>
      <c r="I338" s="95"/>
      <c r="J338" s="95"/>
    </row>
    <row r="339" spans="1:10" ht="13">
      <c r="A339" s="521">
        <f>A338+1</f>
        <v>205</v>
      </c>
      <c r="C339" s="381" t="s">
        <v>2649</v>
      </c>
      <c r="D339" s="95"/>
      <c r="E339" s="389"/>
      <c r="F339" s="382" t="s">
        <v>221</v>
      </c>
      <c r="G339" s="486" t="s">
        <v>2652</v>
      </c>
      <c r="H339" s="95"/>
      <c r="I339" s="95"/>
      <c r="J339" s="95"/>
    </row>
    <row r="340" spans="1:10">
      <c r="C340" s="381"/>
      <c r="D340" s="95"/>
      <c r="E340" s="389"/>
      <c r="F340" s="382"/>
      <c r="G340" s="95"/>
      <c r="H340" s="95"/>
      <c r="I340" s="95"/>
      <c r="J340" s="95"/>
    </row>
    <row r="341" spans="1:10" ht="13">
      <c r="C341" s="388" t="s">
        <v>2656</v>
      </c>
      <c r="D341" s="95"/>
      <c r="E341" s="486"/>
      <c r="F341" s="528"/>
      <c r="G341" s="188" t="s">
        <v>2644</v>
      </c>
      <c r="H341" s="95"/>
      <c r="I341" s="95"/>
      <c r="J341" s="95"/>
    </row>
    <row r="342" spans="1:10" ht="13">
      <c r="A342" s="521">
        <f>A339+1</f>
        <v>206</v>
      </c>
      <c r="C342" s="527" t="s">
        <v>2645</v>
      </c>
      <c r="D342" s="95"/>
      <c r="E342" s="389"/>
      <c r="F342" s="1015" t="s">
        <v>222</v>
      </c>
      <c r="G342" s="486" t="s">
        <v>2657</v>
      </c>
      <c r="H342" s="95"/>
      <c r="I342" s="95"/>
      <c r="J342" s="95"/>
    </row>
    <row r="343" spans="1:10" ht="13">
      <c r="A343" s="521">
        <f>A342+1</f>
        <v>207</v>
      </c>
      <c r="C343" s="527"/>
      <c r="D343" s="95"/>
      <c r="E343" s="389"/>
      <c r="F343" s="1015"/>
      <c r="G343" s="95" t="s">
        <v>2655</v>
      </c>
      <c r="H343" s="95"/>
      <c r="I343" s="95"/>
      <c r="J343" s="95"/>
    </row>
    <row r="344" spans="1:10" ht="13">
      <c r="A344" s="521">
        <f>A343+1</f>
        <v>208</v>
      </c>
      <c r="C344" s="381" t="s">
        <v>2647</v>
      </c>
      <c r="D344" s="95"/>
      <c r="E344" s="390"/>
      <c r="F344" s="1016">
        <v>0</v>
      </c>
      <c r="G344" s="486" t="s">
        <v>2658</v>
      </c>
      <c r="H344" s="95"/>
      <c r="I344" s="95"/>
      <c r="J344" s="95"/>
    </row>
    <row r="345" spans="1:10" ht="13">
      <c r="A345" s="521">
        <f>A344+1</f>
        <v>209</v>
      </c>
      <c r="C345" s="381"/>
      <c r="D345" s="95"/>
      <c r="E345" s="390"/>
      <c r="F345" s="1016"/>
      <c r="G345" s="486" t="s">
        <v>2659</v>
      </c>
      <c r="H345" s="95"/>
      <c r="I345" s="95"/>
      <c r="J345" s="95"/>
    </row>
    <row r="346" spans="1:10" ht="13">
      <c r="A346" s="521">
        <f>A345+1</f>
        <v>210</v>
      </c>
      <c r="C346" s="381" t="s">
        <v>2649</v>
      </c>
      <c r="D346" s="95"/>
      <c r="E346" s="389"/>
      <c r="F346" s="1015" t="s">
        <v>221</v>
      </c>
      <c r="G346" s="486" t="s">
        <v>2652</v>
      </c>
      <c r="H346" s="95"/>
      <c r="I346" s="95"/>
      <c r="J346" s="95"/>
    </row>
    <row r="347" spans="1:10">
      <c r="C347" s="381"/>
      <c r="D347" s="95"/>
      <c r="E347" s="389"/>
      <c r="F347" s="382"/>
      <c r="G347" s="95"/>
      <c r="H347" s="95"/>
      <c r="I347" s="95"/>
      <c r="J347" s="95"/>
    </row>
    <row r="348" spans="1:10" ht="13">
      <c r="C348" s="388" t="s">
        <v>2660</v>
      </c>
      <c r="D348" s="95"/>
      <c r="E348" s="1054"/>
      <c r="F348" s="528"/>
      <c r="G348" s="188" t="s">
        <v>2644</v>
      </c>
      <c r="H348" s="95"/>
      <c r="I348" s="95"/>
      <c r="J348" s="95"/>
    </row>
    <row r="349" spans="1:10" ht="13">
      <c r="A349" s="521">
        <f>A346+1</f>
        <v>211</v>
      </c>
      <c r="C349" s="527" t="s">
        <v>2645</v>
      </c>
      <c r="D349" s="95"/>
      <c r="E349" s="389"/>
      <c r="F349" s="1024" t="s">
        <v>221</v>
      </c>
      <c r="G349" s="529" t="s">
        <v>2661</v>
      </c>
      <c r="H349" s="95"/>
      <c r="I349" s="95"/>
      <c r="J349" s="95"/>
    </row>
    <row r="350" spans="1:10" ht="13">
      <c r="A350" s="521">
        <f>A349+1</f>
        <v>212</v>
      </c>
      <c r="C350" s="381" t="s">
        <v>2647</v>
      </c>
      <c r="D350" s="95"/>
      <c r="E350" s="390"/>
      <c r="F350" s="1025">
        <v>0</v>
      </c>
      <c r="G350" s="1021" t="s">
        <v>76</v>
      </c>
      <c r="H350" s="95"/>
      <c r="I350" s="95"/>
      <c r="J350" s="95"/>
    </row>
    <row r="351" spans="1:10" ht="13">
      <c r="A351" s="521">
        <f>A350+1</f>
        <v>213</v>
      </c>
      <c r="C351" s="381" t="s">
        <v>2649</v>
      </c>
      <c r="D351" s="95"/>
      <c r="E351" s="389"/>
      <c r="F351" s="1024" t="s">
        <v>221</v>
      </c>
      <c r="G351" s="529" t="s">
        <v>2661</v>
      </c>
      <c r="H351" s="95"/>
      <c r="I351" s="95"/>
      <c r="J351" s="95"/>
    </row>
    <row r="352" spans="1:10">
      <c r="C352" s="95"/>
      <c r="D352" s="95"/>
      <c r="E352" s="95"/>
      <c r="F352" s="1024"/>
      <c r="G352" s="95"/>
      <c r="H352" s="95"/>
      <c r="I352" s="95"/>
      <c r="J352" s="95"/>
    </row>
    <row r="353" spans="1:10" ht="13">
      <c r="C353" s="388" t="s">
        <v>2662</v>
      </c>
      <c r="D353" s="95"/>
      <c r="E353" s="1054"/>
      <c r="F353" s="528"/>
      <c r="G353" s="188" t="s">
        <v>2644</v>
      </c>
      <c r="H353" s="95"/>
      <c r="I353" s="95"/>
      <c r="J353" s="95"/>
    </row>
    <row r="354" spans="1:10" ht="13">
      <c r="A354" s="521">
        <f>A351+1</f>
        <v>214</v>
      </c>
      <c r="C354" s="527" t="s">
        <v>2645</v>
      </c>
      <c r="D354" s="95"/>
      <c r="E354" s="389"/>
      <c r="F354" s="1024" t="s">
        <v>221</v>
      </c>
      <c r="G354" s="529" t="s">
        <v>2661</v>
      </c>
      <c r="H354" s="95"/>
      <c r="I354" s="486"/>
      <c r="J354" s="486"/>
    </row>
    <row r="355" spans="1:10" ht="13">
      <c r="A355" s="521">
        <f>A354+1</f>
        <v>215</v>
      </c>
      <c r="C355" s="381" t="s">
        <v>2647</v>
      </c>
      <c r="D355" s="95"/>
      <c r="E355" s="390"/>
      <c r="F355" s="1025">
        <v>0</v>
      </c>
      <c r="G355" s="1021" t="s">
        <v>76</v>
      </c>
      <c r="H355" s="95"/>
      <c r="I355" s="486"/>
      <c r="J355" s="486"/>
    </row>
    <row r="356" spans="1:10" ht="13">
      <c r="A356" s="521">
        <f>A355+1</f>
        <v>216</v>
      </c>
      <c r="C356" s="381" t="s">
        <v>2649</v>
      </c>
      <c r="D356" s="95"/>
      <c r="E356" s="389"/>
      <c r="F356" s="1024" t="s">
        <v>221</v>
      </c>
      <c r="G356" s="529" t="s">
        <v>2661</v>
      </c>
      <c r="H356" s="95"/>
      <c r="I356" s="486"/>
      <c r="J356" s="486"/>
    </row>
    <row r="357" spans="1:10">
      <c r="C357" s="381"/>
      <c r="D357" s="95"/>
      <c r="E357" s="390"/>
      <c r="F357" s="383"/>
      <c r="G357" s="486"/>
      <c r="H357" s="95"/>
      <c r="I357" s="486"/>
      <c r="J357" s="486"/>
    </row>
    <row r="358" spans="1:10" ht="13">
      <c r="C358" s="388" t="s">
        <v>2663</v>
      </c>
      <c r="D358" s="95"/>
      <c r="E358" s="486"/>
      <c r="F358" s="528"/>
      <c r="G358" s="188" t="s">
        <v>2644</v>
      </c>
      <c r="H358" s="95"/>
      <c r="I358" s="486"/>
      <c r="J358" s="486"/>
    </row>
    <row r="359" spans="1:10" ht="13">
      <c r="A359" s="521">
        <f>A356+1</f>
        <v>217</v>
      </c>
      <c r="C359" s="527" t="s">
        <v>2645</v>
      </c>
      <c r="D359" s="95"/>
      <c r="E359" s="389"/>
      <c r="F359" s="1017" t="s">
        <v>221</v>
      </c>
      <c r="G359" s="486" t="s">
        <v>2664</v>
      </c>
      <c r="H359" s="95"/>
      <c r="I359" s="486"/>
      <c r="J359" s="486"/>
    </row>
    <row r="360" spans="1:10" ht="13">
      <c r="A360" s="521">
        <f>A359+1</f>
        <v>218</v>
      </c>
      <c r="C360" s="381" t="s">
        <v>2647</v>
      </c>
      <c r="D360" s="95"/>
      <c r="E360" s="390"/>
      <c r="F360" s="1018">
        <v>0</v>
      </c>
      <c r="G360" s="486" t="s">
        <v>2665</v>
      </c>
      <c r="H360" s="95"/>
      <c r="I360" s="486"/>
      <c r="J360" s="486"/>
    </row>
    <row r="361" spans="1:10" ht="13">
      <c r="A361" s="521">
        <f>A360+1</f>
        <v>219</v>
      </c>
      <c r="C361" s="381" t="s">
        <v>2649</v>
      </c>
      <c r="D361" s="95"/>
      <c r="E361" s="389"/>
      <c r="F361" s="1017" t="s">
        <v>221</v>
      </c>
      <c r="G361" s="486" t="s">
        <v>2666</v>
      </c>
      <c r="H361" s="95"/>
      <c r="I361" s="486"/>
      <c r="J361" s="486"/>
    </row>
    <row r="362" spans="1:10">
      <c r="C362" s="95"/>
      <c r="D362" s="95"/>
      <c r="E362" s="95"/>
      <c r="F362" s="382"/>
      <c r="G362" s="95"/>
      <c r="H362" s="95"/>
      <c r="I362" s="95"/>
      <c r="J362" s="95"/>
    </row>
    <row r="363" spans="1:10" ht="13">
      <c r="C363" s="388" t="s">
        <v>2667</v>
      </c>
      <c r="D363" s="95"/>
      <c r="E363" s="486"/>
      <c r="F363" s="528"/>
      <c r="G363" s="188" t="s">
        <v>2644</v>
      </c>
      <c r="H363" s="95"/>
      <c r="I363" s="95"/>
      <c r="J363" s="95"/>
    </row>
    <row r="364" spans="1:10" ht="13">
      <c r="A364" s="521">
        <f>A361+1</f>
        <v>220</v>
      </c>
      <c r="C364" s="527" t="s">
        <v>2645</v>
      </c>
      <c r="D364" s="95"/>
      <c r="E364" s="389"/>
      <c r="F364" s="1019" t="s">
        <v>221</v>
      </c>
      <c r="G364" s="529" t="s">
        <v>2661</v>
      </c>
      <c r="H364" s="95"/>
      <c r="I364" s="95"/>
      <c r="J364" s="95"/>
    </row>
    <row r="365" spans="1:10" ht="13">
      <c r="A365" s="521">
        <f>A364+1</f>
        <v>221</v>
      </c>
      <c r="C365" s="381" t="s">
        <v>2647</v>
      </c>
      <c r="D365" s="95"/>
      <c r="E365" s="390"/>
      <c r="F365" s="1020">
        <v>0</v>
      </c>
      <c r="G365" s="1021" t="s">
        <v>76</v>
      </c>
      <c r="H365" s="95"/>
      <c r="I365" s="95"/>
      <c r="J365" s="95"/>
    </row>
    <row r="366" spans="1:10" ht="13">
      <c r="A366" s="521">
        <f>A365+1</f>
        <v>222</v>
      </c>
      <c r="C366" s="381" t="s">
        <v>2649</v>
      </c>
      <c r="D366" s="95"/>
      <c r="E366" s="389"/>
      <c r="F366" s="1019" t="s">
        <v>221</v>
      </c>
      <c r="G366" s="529" t="s">
        <v>2661</v>
      </c>
      <c r="H366" s="95"/>
      <c r="I366" s="95"/>
      <c r="J366" s="95"/>
    </row>
    <row r="367" spans="1:10">
      <c r="C367" s="95"/>
      <c r="D367" s="95"/>
      <c r="E367" s="95"/>
      <c r="F367" s="382"/>
      <c r="G367" s="95"/>
      <c r="H367" s="95"/>
      <c r="I367" s="95"/>
      <c r="J367" s="95"/>
    </row>
    <row r="368" spans="1:10" ht="13">
      <c r="C368" s="388" t="s">
        <v>2668</v>
      </c>
      <c r="D368" s="95"/>
      <c r="E368" s="486"/>
      <c r="F368" s="528"/>
      <c r="G368" s="188" t="s">
        <v>2644</v>
      </c>
      <c r="H368" s="95"/>
      <c r="I368" s="95"/>
      <c r="J368" s="95"/>
    </row>
    <row r="369" spans="1:10" ht="13">
      <c r="A369" s="521">
        <f>A366+1</f>
        <v>223</v>
      </c>
      <c r="C369" s="527" t="s">
        <v>2645</v>
      </c>
      <c r="D369" s="95"/>
      <c r="E369" s="389"/>
      <c r="F369" s="1022" t="s">
        <v>221</v>
      </c>
      <c r="G369" s="529" t="s">
        <v>2661</v>
      </c>
      <c r="H369" s="95"/>
      <c r="I369" s="95"/>
      <c r="J369" s="95"/>
    </row>
    <row r="370" spans="1:10" ht="13">
      <c r="A370" s="521">
        <f>A369+1</f>
        <v>224</v>
      </c>
      <c r="C370" s="381" t="s">
        <v>2647</v>
      </c>
      <c r="D370" s="95"/>
      <c r="E370" s="390"/>
      <c r="F370" s="1023">
        <v>0</v>
      </c>
      <c r="G370" s="1021" t="s">
        <v>76</v>
      </c>
      <c r="H370" s="95"/>
      <c r="I370" s="95"/>
      <c r="J370" s="95"/>
    </row>
    <row r="371" spans="1:10" ht="13">
      <c r="A371" s="521">
        <f>A370+1</f>
        <v>225</v>
      </c>
      <c r="C371" s="381" t="s">
        <v>2649</v>
      </c>
      <c r="D371" s="95"/>
      <c r="E371" s="389"/>
      <c r="F371" s="1022" t="s">
        <v>221</v>
      </c>
      <c r="G371" s="529" t="s">
        <v>2661</v>
      </c>
      <c r="H371" s="95"/>
      <c r="I371" s="95"/>
      <c r="J371" s="95"/>
    </row>
    <row r="372" spans="1:10">
      <c r="C372" s="95"/>
      <c r="D372" s="95"/>
      <c r="E372" s="95"/>
      <c r="F372" s="382"/>
      <c r="G372" s="95"/>
      <c r="H372" s="95"/>
      <c r="I372" s="95"/>
      <c r="J372" s="95"/>
    </row>
    <row r="373" spans="1:10" ht="13">
      <c r="C373" s="1225" t="s">
        <v>2669</v>
      </c>
      <c r="D373" s="95"/>
      <c r="E373" s="95"/>
      <c r="F373" s="95"/>
      <c r="G373" s="188" t="s">
        <v>2644</v>
      </c>
      <c r="H373" s="95"/>
      <c r="I373" s="95"/>
      <c r="J373" s="95"/>
    </row>
    <row r="374" spans="1:10" ht="13">
      <c r="A374" s="521">
        <f>A371+1</f>
        <v>226</v>
      </c>
      <c r="C374" s="527" t="s">
        <v>2645</v>
      </c>
      <c r="D374" s="95"/>
      <c r="E374" s="95"/>
      <c r="F374" s="1054" t="s">
        <v>221</v>
      </c>
      <c r="G374" s="1054" t="s">
        <v>2670</v>
      </c>
      <c r="H374" s="95"/>
      <c r="I374" s="95"/>
      <c r="J374" s="95"/>
    </row>
    <row r="375" spans="1:10" ht="13">
      <c r="A375" s="521">
        <f>A374+1</f>
        <v>227</v>
      </c>
      <c r="C375" s="381" t="s">
        <v>2647</v>
      </c>
      <c r="D375" s="95"/>
      <c r="E375" s="95"/>
      <c r="F375" s="1025">
        <v>0</v>
      </c>
      <c r="G375" s="1021" t="s">
        <v>76</v>
      </c>
      <c r="H375" s="95"/>
      <c r="I375" s="95"/>
      <c r="J375" s="95"/>
    </row>
    <row r="376" spans="1:10" ht="13">
      <c r="A376" s="521">
        <f>A375+1</f>
        <v>228</v>
      </c>
      <c r="C376" s="381" t="s">
        <v>2649</v>
      </c>
      <c r="D376" s="95"/>
      <c r="E376" s="95"/>
      <c r="F376" s="1054" t="s">
        <v>222</v>
      </c>
      <c r="G376" s="1021" t="s">
        <v>76</v>
      </c>
      <c r="H376" s="95"/>
      <c r="I376" s="95"/>
      <c r="J376" s="95"/>
    </row>
    <row r="377" spans="1:10">
      <c r="C377" s="95"/>
      <c r="D377" s="95"/>
      <c r="E377" s="95"/>
      <c r="F377" s="95"/>
      <c r="G377" s="95"/>
      <c r="H377" s="95"/>
      <c r="I377" s="95"/>
      <c r="J377" s="95"/>
    </row>
    <row r="378" spans="1:10" ht="13">
      <c r="C378" s="1225" t="s">
        <v>2671</v>
      </c>
      <c r="D378" s="95"/>
      <c r="E378" s="95"/>
      <c r="F378" s="95"/>
      <c r="G378" s="188" t="s">
        <v>2644</v>
      </c>
      <c r="H378" s="95"/>
      <c r="I378" s="95"/>
      <c r="J378" s="95"/>
    </row>
    <row r="379" spans="1:10" ht="13">
      <c r="A379" s="521">
        <f>A376+1</f>
        <v>229</v>
      </c>
      <c r="C379" s="527" t="s">
        <v>2645</v>
      </c>
      <c r="D379" s="95"/>
      <c r="E379" s="95"/>
      <c r="F379" s="1054" t="s">
        <v>221</v>
      </c>
      <c r="G379" s="1054" t="s">
        <v>2670</v>
      </c>
      <c r="H379" s="95"/>
      <c r="I379" s="95"/>
      <c r="J379" s="95"/>
    </row>
    <row r="380" spans="1:10" ht="13">
      <c r="A380" s="521">
        <f>A379+1</f>
        <v>230</v>
      </c>
      <c r="C380" s="381" t="s">
        <v>2647</v>
      </c>
      <c r="D380" s="95"/>
      <c r="E380" s="95"/>
      <c r="F380" s="1025">
        <v>0</v>
      </c>
      <c r="G380" s="1021" t="s">
        <v>76</v>
      </c>
      <c r="H380" s="95"/>
      <c r="I380" s="95"/>
      <c r="J380" s="95"/>
    </row>
    <row r="381" spans="1:10" ht="13">
      <c r="A381" s="521">
        <f>A380+1</f>
        <v>231</v>
      </c>
      <c r="C381" s="381" t="s">
        <v>2649</v>
      </c>
      <c r="D381" s="95"/>
      <c r="E381" s="95"/>
      <c r="F381" s="1054" t="s">
        <v>221</v>
      </c>
      <c r="G381" s="1054" t="s">
        <v>2672</v>
      </c>
      <c r="H381" s="95"/>
      <c r="I381" s="95"/>
      <c r="J381" s="95"/>
    </row>
    <row r="382" spans="1:10">
      <c r="C382" s="95"/>
      <c r="D382" s="95"/>
      <c r="E382" s="95"/>
      <c r="F382" s="95"/>
      <c r="G382" s="95"/>
      <c r="H382" s="95"/>
      <c r="I382" s="95"/>
      <c r="J382" s="95"/>
    </row>
    <row r="383" spans="1:10" ht="13">
      <c r="C383" s="1225" t="s">
        <v>2673</v>
      </c>
      <c r="D383" s="95"/>
      <c r="E383" s="95"/>
      <c r="F383" s="95"/>
      <c r="G383" s="188" t="s">
        <v>2644</v>
      </c>
      <c r="H383" s="95"/>
      <c r="I383" s="95"/>
      <c r="J383" s="95"/>
    </row>
    <row r="384" spans="1:10" ht="13">
      <c r="A384" s="521">
        <f>A381+1</f>
        <v>232</v>
      </c>
      <c r="C384" s="527" t="s">
        <v>2645</v>
      </c>
      <c r="D384" s="95"/>
      <c r="E384" s="95"/>
      <c r="F384" s="1054" t="s">
        <v>221</v>
      </c>
      <c r="G384" s="1054" t="s">
        <v>2670</v>
      </c>
      <c r="H384" s="95"/>
      <c r="I384" s="95"/>
      <c r="J384" s="95"/>
    </row>
    <row r="385" spans="1:10" ht="13">
      <c r="A385" s="521">
        <f>A384+1</f>
        <v>233</v>
      </c>
      <c r="C385" s="381" t="s">
        <v>2647</v>
      </c>
      <c r="D385" s="95"/>
      <c r="E385" s="95"/>
      <c r="F385" s="1025">
        <v>0</v>
      </c>
      <c r="G385" s="1021" t="s">
        <v>76</v>
      </c>
      <c r="H385" s="95"/>
      <c r="I385" s="95"/>
      <c r="J385" s="95"/>
    </row>
    <row r="386" spans="1:10" ht="13">
      <c r="A386" s="521">
        <f>A385+1</f>
        <v>234</v>
      </c>
      <c r="C386" s="381" t="s">
        <v>2649</v>
      </c>
      <c r="D386" s="95"/>
      <c r="E386" s="95"/>
      <c r="F386" s="1054" t="s">
        <v>221</v>
      </c>
      <c r="G386" s="1054" t="s">
        <v>2672</v>
      </c>
      <c r="H386" s="95"/>
      <c r="I386" s="95"/>
      <c r="J386" s="95"/>
    </row>
    <row r="387" spans="1:10">
      <c r="C387" s="1246"/>
      <c r="D387" s="95"/>
      <c r="E387" s="95"/>
      <c r="F387" s="95"/>
      <c r="G387" s="95"/>
      <c r="H387" s="95"/>
      <c r="I387" s="95"/>
      <c r="J387" s="95"/>
    </row>
    <row r="388" spans="1:10" s="1048" customFormat="1" ht="13">
      <c r="C388" s="1225" t="s">
        <v>2674</v>
      </c>
      <c r="D388" s="95"/>
      <c r="E388" s="95"/>
      <c r="F388" s="95"/>
      <c r="G388" s="188" t="s">
        <v>2644</v>
      </c>
      <c r="H388" s="95"/>
      <c r="I388" s="95"/>
      <c r="J388" s="95"/>
    </row>
    <row r="389" spans="1:10" s="1048" customFormat="1" ht="13">
      <c r="A389" s="572">
        <f>A386+1</f>
        <v>235</v>
      </c>
      <c r="C389" s="527" t="s">
        <v>2645</v>
      </c>
      <c r="D389" s="95"/>
      <c r="E389" s="95"/>
      <c r="F389" s="1054"/>
      <c r="G389" s="1054"/>
      <c r="H389" s="95"/>
      <c r="I389" s="95"/>
      <c r="J389" s="95"/>
    </row>
    <row r="390" spans="1:10" s="1048" customFormat="1" ht="13">
      <c r="A390" s="572">
        <f>A389+1</f>
        <v>236</v>
      </c>
      <c r="C390" s="381" t="s">
        <v>2647</v>
      </c>
      <c r="D390" s="95"/>
      <c r="E390" s="95"/>
      <c r="F390" s="1025"/>
      <c r="G390" s="1021"/>
      <c r="H390" s="95"/>
      <c r="I390" s="95"/>
      <c r="J390" s="95"/>
    </row>
    <row r="391" spans="1:10" s="1048" customFormat="1" ht="13">
      <c r="A391" s="572">
        <f>A390+1</f>
        <v>237</v>
      </c>
      <c r="C391" s="381" t="s">
        <v>2649</v>
      </c>
      <c r="D391" s="95"/>
      <c r="E391" s="95"/>
      <c r="F391" s="1054"/>
      <c r="G391" s="1054"/>
      <c r="H391" s="95"/>
      <c r="I391" s="95"/>
      <c r="J391" s="95"/>
    </row>
    <row r="392" spans="1:10" s="1048" customFormat="1">
      <c r="C392" s="385" t="s">
        <v>506</v>
      </c>
    </row>
    <row r="394" spans="1:10" ht="13">
      <c r="B394" s="386" t="s">
        <v>378</v>
      </c>
    </row>
    <row r="395" spans="1:10">
      <c r="C395" s="476" t="s">
        <v>1194</v>
      </c>
    </row>
    <row r="396" spans="1:10">
      <c r="C396" t="s">
        <v>1107</v>
      </c>
    </row>
  </sheetData>
  <phoneticPr fontId="23" type="noConversion"/>
  <pageMargins left="0.75" right="0.75" top="1" bottom="1" header="0.5" footer="0.5"/>
  <pageSetup scale="70" orientation="portrait" cellComments="asDisplayed" r:id="rId1"/>
  <headerFooter alignWithMargins="0">
    <oddHeader>&amp;CSchedule 14
Incentive Plant
&amp;RTO2021 Annual Update
Attachment 5
TO2018 True Up TRR</oddHeader>
    <oddFooter>&amp;R&amp;A</oddFooter>
  </headerFooter>
  <rowBreaks count="5" manualBreakCount="5">
    <brk id="66" max="16383" man="1"/>
    <brk id="131" max="16383" man="1"/>
    <brk id="189" max="16383" man="1"/>
    <brk id="246" max="16383" man="1"/>
    <brk id="30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150</v>
      </c>
      <c r="B1" s="1"/>
    </row>
    <row r="2" spans="1:9" ht="13">
      <c r="A2" s="1"/>
      <c r="B2" s="1"/>
      <c r="G2" s="93" t="s">
        <v>246</v>
      </c>
      <c r="H2" s="93"/>
    </row>
    <row r="3" spans="1:9" ht="13">
      <c r="A3" s="1"/>
      <c r="B3" s="12" t="s">
        <v>983</v>
      </c>
    </row>
    <row r="4" spans="1:9" ht="13">
      <c r="A4" s="1"/>
      <c r="B4" s="13" t="s">
        <v>984</v>
      </c>
    </row>
    <row r="5" spans="1:9" ht="13">
      <c r="A5" s="1"/>
      <c r="B5" s="480" t="s">
        <v>1497</v>
      </c>
    </row>
    <row r="7" spans="1:9" ht="13.5" customHeight="1">
      <c r="B7" s="1" t="s">
        <v>272</v>
      </c>
    </row>
    <row r="8" spans="1:9" ht="13">
      <c r="A8" s="1"/>
      <c r="B8" s="1"/>
    </row>
    <row r="9" spans="1:9" ht="13">
      <c r="A9" s="1"/>
      <c r="B9" s="1"/>
      <c r="C9" s="12" t="s">
        <v>296</v>
      </c>
    </row>
    <row r="10" spans="1:9" ht="13">
      <c r="A10" s="1"/>
      <c r="B10" s="1"/>
      <c r="C10" s="12" t="s">
        <v>1119</v>
      </c>
    </row>
    <row r="11" spans="1:9" ht="13">
      <c r="A11" s="1"/>
      <c r="B11" s="1"/>
      <c r="C11" s="12"/>
    </row>
    <row r="12" spans="1:9" ht="13">
      <c r="A12" s="1"/>
      <c r="B12" s="1"/>
      <c r="C12" s="476" t="s">
        <v>1468</v>
      </c>
    </row>
    <row r="13" spans="1:9" ht="13">
      <c r="A13" s="1"/>
      <c r="B13" s="1"/>
    </row>
    <row r="14" spans="1:9" ht="13">
      <c r="A14" s="51" t="s">
        <v>330</v>
      </c>
      <c r="B14" s="1"/>
      <c r="C14" s="12" t="s">
        <v>364</v>
      </c>
      <c r="G14" s="117" t="s">
        <v>171</v>
      </c>
      <c r="I14" s="3" t="s">
        <v>179</v>
      </c>
    </row>
    <row r="15" spans="1:9" ht="13">
      <c r="A15" s="109">
        <v>1</v>
      </c>
      <c r="B15" s="44"/>
      <c r="C15" s="46" t="s">
        <v>365</v>
      </c>
      <c r="D15" s="14"/>
      <c r="E15" s="14"/>
      <c r="F15" s="14"/>
      <c r="G15" s="67">
        <f>'1-BaseTRR'!K80</f>
        <v>0.44920436733331198</v>
      </c>
      <c r="H15" s="14"/>
      <c r="I15" s="15" t="str">
        <f>"1-BaseTRR, L "&amp;'1-BaseTRR'!A80&amp;""</f>
        <v>1-BaseTRR, L 47</v>
      </c>
    </row>
    <row r="16" spans="1:9" ht="13">
      <c r="A16" s="109">
        <v>2</v>
      </c>
      <c r="B16" s="44"/>
      <c r="C16" s="46" t="s">
        <v>218</v>
      </c>
      <c r="D16" s="14"/>
      <c r="E16" s="14"/>
      <c r="F16" s="14"/>
      <c r="G16" s="67">
        <f>'1-BaseTRR'!K102</f>
        <v>0.27983599999999997</v>
      </c>
      <c r="H16" s="14"/>
      <c r="I16" s="15" t="str">
        <f>"1-BaseTRR, L "&amp;'1-BaseTRR'!A102&amp;""</f>
        <v>1-BaseTRR, L 59</v>
      </c>
    </row>
    <row r="17" spans="1:9" ht="13">
      <c r="A17" s="109">
        <v>3</v>
      </c>
      <c r="B17" s="44"/>
      <c r="C17" s="14"/>
      <c r="D17" s="14"/>
      <c r="E17" s="14"/>
      <c r="F17" s="363" t="s">
        <v>491</v>
      </c>
      <c r="G17" s="63">
        <f>G15*(1/(1-G16))* 10000</f>
        <v>6237.528775852611</v>
      </c>
      <c r="H17" s="14"/>
      <c r="I17" s="15" t="s">
        <v>366</v>
      </c>
    </row>
    <row r="18" spans="1:9">
      <c r="A18" s="14"/>
      <c r="B18" s="14"/>
      <c r="C18" s="14"/>
      <c r="D18" s="14"/>
      <c r="E18" s="14"/>
      <c r="F18" s="14"/>
      <c r="G18" s="14"/>
      <c r="H18" s="14"/>
      <c r="I18" s="14"/>
    </row>
    <row r="19" spans="1:9" ht="13">
      <c r="A19" s="14"/>
      <c r="B19" s="44" t="s">
        <v>273</v>
      </c>
      <c r="C19" s="14"/>
      <c r="D19" s="14"/>
      <c r="E19" s="14"/>
      <c r="F19" s="14"/>
      <c r="G19" s="14"/>
      <c r="H19" s="14"/>
      <c r="I19" s="14"/>
    </row>
    <row r="20" spans="1:9" ht="13">
      <c r="A20" s="44"/>
      <c r="B20" s="44"/>
      <c r="C20" s="15" t="s">
        <v>301</v>
      </c>
      <c r="D20" s="14"/>
      <c r="E20" s="14"/>
      <c r="F20" s="14"/>
      <c r="G20" s="14"/>
      <c r="H20" s="14"/>
      <c r="I20" s="14"/>
    </row>
    <row r="21" spans="1:9" ht="13">
      <c r="A21" s="44"/>
      <c r="B21" s="44"/>
      <c r="C21" s="15" t="s">
        <v>492</v>
      </c>
      <c r="D21" s="14"/>
      <c r="E21" s="14"/>
      <c r="F21" s="14"/>
      <c r="G21" s="14"/>
      <c r="H21" s="14"/>
      <c r="I21" s="14"/>
    </row>
    <row r="22" spans="1:9" ht="13">
      <c r="A22" s="44"/>
      <c r="B22" s="44"/>
      <c r="C22" s="14"/>
      <c r="D22" s="14"/>
      <c r="E22" s="14"/>
      <c r="F22" s="14"/>
      <c r="G22" s="14"/>
      <c r="H22" s="14"/>
      <c r="I22" s="14"/>
    </row>
    <row r="23" spans="1:9" ht="13">
      <c r="A23" s="44"/>
      <c r="B23" s="44"/>
      <c r="C23" s="14"/>
      <c r="D23" s="14"/>
      <c r="E23" s="14"/>
      <c r="F23" s="109" t="s">
        <v>275</v>
      </c>
      <c r="G23" s="14"/>
      <c r="H23" s="14"/>
      <c r="I23" s="14"/>
    </row>
    <row r="24" spans="1:9" ht="13">
      <c r="A24" s="910" t="s">
        <v>330</v>
      </c>
      <c r="B24" s="910"/>
      <c r="C24" s="14"/>
      <c r="D24" s="14"/>
      <c r="E24" s="123" t="s">
        <v>9</v>
      </c>
      <c r="F24" s="123" t="s">
        <v>35</v>
      </c>
      <c r="G24" s="123" t="s">
        <v>179</v>
      </c>
      <c r="H24" s="14"/>
      <c r="I24" s="14"/>
    </row>
    <row r="25" spans="1:9" ht="13">
      <c r="A25" s="109">
        <f>A17+1</f>
        <v>4</v>
      </c>
      <c r="B25" s="109"/>
      <c r="C25" s="14" t="s">
        <v>225</v>
      </c>
      <c r="D25" s="14"/>
      <c r="E25" s="78">
        <f>'14-IncentivePlant'!F327</f>
        <v>7.4999999999999997E-3</v>
      </c>
      <c r="F25" s="949">
        <f>E25/0.01</f>
        <v>0.75</v>
      </c>
      <c r="G25" s="46" t="str">
        <f>"14-IncentivePlant, L "&amp;'14-IncentivePlant'!A327&amp;""</f>
        <v>14-IncentivePlant, L 197</v>
      </c>
      <c r="H25" s="14"/>
      <c r="I25" s="14"/>
    </row>
    <row r="26" spans="1:9" ht="13">
      <c r="A26" s="109">
        <f>A25+1</f>
        <v>5</v>
      </c>
      <c r="B26" s="109"/>
      <c r="C26" s="14" t="s">
        <v>226</v>
      </c>
      <c r="D26" s="14"/>
      <c r="E26" s="78">
        <f>'14-IncentivePlant'!F332</f>
        <v>1.2500000000000001E-2</v>
      </c>
      <c r="F26" s="949">
        <f>E26/0.01</f>
        <v>1.25</v>
      </c>
      <c r="G26" s="46" t="str">
        <f>"14-IncentivePlant, L "&amp;'14-IncentivePlant'!A332&amp;""</f>
        <v>14-IncentivePlant, L 200</v>
      </c>
      <c r="H26" s="14"/>
      <c r="I26" s="14"/>
    </row>
    <row r="27" spans="1:9" ht="13">
      <c r="A27" s="109">
        <f>A26+1</f>
        <v>6</v>
      </c>
      <c r="B27" s="109"/>
      <c r="C27" s="478" t="s">
        <v>2161</v>
      </c>
      <c r="D27" s="14"/>
      <c r="E27" s="78">
        <f>'14-IncentivePlant'!F337</f>
        <v>0.01</v>
      </c>
      <c r="F27" s="949">
        <f>E27/0.01</f>
        <v>1</v>
      </c>
      <c r="G27" s="46" t="str">
        <f>"14-IncentivePlant, L "&amp;'14-IncentivePlant'!A337&amp;""</f>
        <v>14-IncentivePlant, L 203</v>
      </c>
      <c r="H27" s="14"/>
      <c r="I27" s="14"/>
    </row>
    <row r="28" spans="1:9" ht="13">
      <c r="A28" s="2">
        <f>A27+1</f>
        <v>7</v>
      </c>
      <c r="B28" s="2"/>
      <c r="C28" s="114"/>
      <c r="D28" s="95"/>
      <c r="E28" s="42"/>
      <c r="F28" s="96"/>
    </row>
    <row r="29" spans="1:9" ht="13">
      <c r="A29" s="2">
        <f>A28+1</f>
        <v>8</v>
      </c>
      <c r="B29" s="2"/>
      <c r="C29" s="186" t="s">
        <v>506</v>
      </c>
      <c r="E29" s="42"/>
      <c r="F29" s="96"/>
    </row>
    <row r="31" spans="1:9" ht="13">
      <c r="B31" s="1" t="s">
        <v>274</v>
      </c>
    </row>
    <row r="32" spans="1:9" ht="13">
      <c r="A32" s="1"/>
      <c r="B32" s="1"/>
      <c r="C32" s="12" t="s">
        <v>1426</v>
      </c>
    </row>
    <row r="33" spans="1:9" ht="13">
      <c r="A33" s="1"/>
      <c r="B33" s="1"/>
      <c r="C33" s="12" t="s">
        <v>493</v>
      </c>
    </row>
    <row r="34" spans="1:9" ht="13">
      <c r="A34" s="1"/>
      <c r="B34" s="1"/>
      <c r="C34" s="12" t="s">
        <v>494</v>
      </c>
    </row>
    <row r="35" spans="1:9" ht="13">
      <c r="E35" s="2"/>
      <c r="G35" s="2"/>
    </row>
    <row r="36" spans="1:9" ht="13">
      <c r="E36" s="2" t="s">
        <v>63</v>
      </c>
      <c r="G36" s="2" t="s">
        <v>63</v>
      </c>
    </row>
    <row r="37" spans="1:9" ht="13">
      <c r="E37" s="2" t="s">
        <v>8</v>
      </c>
      <c r="F37" s="2" t="s">
        <v>275</v>
      </c>
      <c r="G37" s="2" t="s">
        <v>8</v>
      </c>
    </row>
    <row r="38" spans="1:9" ht="13">
      <c r="A38" s="51" t="s">
        <v>330</v>
      </c>
      <c r="B38" s="51"/>
      <c r="E38" s="3" t="s">
        <v>173</v>
      </c>
      <c r="F38" s="3" t="s">
        <v>35</v>
      </c>
      <c r="G38" s="3" t="s">
        <v>276</v>
      </c>
      <c r="H38" s="3" t="s">
        <v>179</v>
      </c>
    </row>
    <row r="39" spans="1:9" ht="13">
      <c r="A39" s="2">
        <f>A29+1</f>
        <v>9</v>
      </c>
      <c r="B39" s="2"/>
      <c r="C39" t="s">
        <v>225</v>
      </c>
      <c r="E39" s="7">
        <f>'14-IncentivePlant'!E46</f>
        <v>140675231.43613446</v>
      </c>
      <c r="F39" s="96">
        <f>F25</f>
        <v>0.75</v>
      </c>
      <c r="G39" s="63">
        <f>(E39/1000000)*(F39*$G$17)</f>
        <v>658099.35309946095</v>
      </c>
      <c r="H39" s="46" t="str">
        <f>"14-IncentivePlant, L "&amp;'14-IncentivePlant'!A46&amp;", Col. 1"</f>
        <v>14-IncentivePlant, L 13, Col. 1</v>
      </c>
    </row>
    <row r="40" spans="1:9" ht="13">
      <c r="A40" s="2">
        <f>A39+1</f>
        <v>10</v>
      </c>
      <c r="B40" s="2"/>
      <c r="C40" t="s">
        <v>226</v>
      </c>
      <c r="E40" s="7">
        <f>'14-IncentivePlant'!E47</f>
        <v>2592594066.0880814</v>
      </c>
      <c r="F40" s="96">
        <f>F26</f>
        <v>1.25</v>
      </c>
      <c r="G40" s="63">
        <f>(E40/1000000)*(F40*$G$17)</f>
        <v>20214225.114161417</v>
      </c>
      <c r="H40" s="46" t="str">
        <f>"14-IncentivePlant, L "&amp;'14-IncentivePlant'!A47&amp;", Col. 1"</f>
        <v>14-IncentivePlant, L 14, Col. 1</v>
      </c>
    </row>
    <row r="41" spans="1:9" ht="13">
      <c r="A41" s="2">
        <f>A40+1</f>
        <v>11</v>
      </c>
      <c r="B41" s="2"/>
      <c r="C41" s="476" t="s">
        <v>2161</v>
      </c>
      <c r="E41" s="7">
        <f>'14-IncentivePlant'!E48</f>
        <v>649167356.36563158</v>
      </c>
      <c r="F41" s="96">
        <f>F27</f>
        <v>1</v>
      </c>
      <c r="G41" s="63">
        <f>(E41/1000000)*(F41*$G$17)</f>
        <v>4049200.0656747934</v>
      </c>
      <c r="H41" s="46" t="str">
        <f>"14-IncentivePlant, L "&amp;'14-IncentivePlant'!A48&amp;", Col. 1"</f>
        <v>14-IncentivePlant, L 15, Col. 1</v>
      </c>
    </row>
    <row r="42" spans="1:9" ht="13">
      <c r="A42" s="2">
        <f>A41+1</f>
        <v>12</v>
      </c>
      <c r="B42" s="2"/>
      <c r="C42" s="114"/>
      <c r="D42" s="95"/>
      <c r="G42" s="14"/>
      <c r="H42" s="14"/>
    </row>
    <row r="43" spans="1:9" ht="13">
      <c r="A43" s="2">
        <f>A42+1</f>
        <v>13</v>
      </c>
      <c r="B43" s="2"/>
      <c r="C43" s="186" t="s">
        <v>506</v>
      </c>
      <c r="G43" s="14"/>
      <c r="H43" s="14"/>
    </row>
    <row r="44" spans="1:9" ht="13">
      <c r="A44" s="2">
        <f>A43+1</f>
        <v>14</v>
      </c>
      <c r="F44" s="37" t="s">
        <v>78</v>
      </c>
      <c r="G44" s="63">
        <f>SUM(G39:G42)</f>
        <v>24921524.532935672</v>
      </c>
      <c r="H44" s="475" t="s">
        <v>1661</v>
      </c>
    </row>
    <row r="45" spans="1:9">
      <c r="H45" s="475" t="s">
        <v>1662</v>
      </c>
      <c r="I45" s="7"/>
    </row>
    <row r="46" spans="1:9" ht="13">
      <c r="B46" s="1" t="s">
        <v>1454</v>
      </c>
      <c r="H46" s="14"/>
    </row>
    <row r="47" spans="1:9" ht="13">
      <c r="A47" s="1"/>
      <c r="B47" s="1"/>
      <c r="C47" s="476" t="s">
        <v>1455</v>
      </c>
      <c r="H47" s="14"/>
    </row>
    <row r="48" spans="1:9" ht="13">
      <c r="A48" s="1"/>
      <c r="B48" s="1"/>
      <c r="C48" s="476" t="s">
        <v>1498</v>
      </c>
      <c r="H48" s="14"/>
    </row>
    <row r="49" spans="1:9" ht="13">
      <c r="A49" s="1"/>
      <c r="B49" s="1"/>
      <c r="C49" s="476" t="s">
        <v>1660</v>
      </c>
      <c r="H49" s="14"/>
    </row>
    <row r="50" spans="1:9">
      <c r="H50" s="14"/>
    </row>
    <row r="51" spans="1:9" ht="13">
      <c r="E51" s="2" t="s">
        <v>0</v>
      </c>
      <c r="G51" s="2" t="s">
        <v>0</v>
      </c>
      <c r="H51" s="14"/>
    </row>
    <row r="52" spans="1:9" ht="13">
      <c r="E52" s="2" t="s">
        <v>8</v>
      </c>
      <c r="F52" s="2" t="s">
        <v>275</v>
      </c>
      <c r="G52" s="2" t="s">
        <v>8</v>
      </c>
      <c r="H52" s="14"/>
    </row>
    <row r="53" spans="1:9" ht="13">
      <c r="A53" s="51" t="s">
        <v>330</v>
      </c>
      <c r="B53" s="51"/>
      <c r="E53" s="3" t="s">
        <v>998</v>
      </c>
      <c r="F53" s="3" t="s">
        <v>35</v>
      </c>
      <c r="G53" s="3" t="s">
        <v>276</v>
      </c>
      <c r="H53" s="123" t="s">
        <v>179</v>
      </c>
    </row>
    <row r="54" spans="1:9" ht="13">
      <c r="A54" s="2">
        <f>A44+1</f>
        <v>15</v>
      </c>
      <c r="B54" s="2"/>
      <c r="C54" t="s">
        <v>225</v>
      </c>
      <c r="E54" s="7">
        <f>'14-IncentivePlant'!E60</f>
        <v>143115066.53896901</v>
      </c>
      <c r="F54" s="96">
        <f>F25</f>
        <v>0.75</v>
      </c>
      <c r="G54" s="63">
        <f>(E54/1000000)*(F54*$G$17)</f>
        <v>669513.25934616034</v>
      </c>
      <c r="H54" s="46" t="str">
        <f>"14-IncentivePlant, L "&amp;'14-IncentivePlant'!A60&amp;", Col. 1"</f>
        <v>14-IncentivePlant, L 19, Col. 1</v>
      </c>
    </row>
    <row r="55" spans="1:9" ht="13">
      <c r="A55" s="2">
        <f>A54+1</f>
        <v>16</v>
      </c>
      <c r="B55" s="2"/>
      <c r="C55" t="s">
        <v>226</v>
      </c>
      <c r="E55" s="7">
        <f>'14-IncentivePlant'!E61</f>
        <v>2626937258.942555</v>
      </c>
      <c r="F55" s="96">
        <f>F26</f>
        <v>1.25</v>
      </c>
      <c r="G55" s="63">
        <f>(E55/1000000)*(F55*$G$17)</f>
        <v>20481995.93126696</v>
      </c>
      <c r="H55" s="46" t="str">
        <f>"14-IncentivePlant, L "&amp;'14-IncentivePlant'!A61&amp;", Col. 1"</f>
        <v>14-IncentivePlant, L 20, Col. 1</v>
      </c>
    </row>
    <row r="56" spans="1:9" ht="13">
      <c r="A56" s="2">
        <f>A55+1</f>
        <v>17</v>
      </c>
      <c r="B56" s="2"/>
      <c r="C56" s="476" t="s">
        <v>2161</v>
      </c>
      <c r="E56" s="7">
        <f>'14-IncentivePlant'!E62</f>
        <v>659274150.85827935</v>
      </c>
      <c r="F56" s="96">
        <f>F27</f>
        <v>1</v>
      </c>
      <c r="G56" s="63">
        <f>(E56/1000000)*(F56*$G$17)</f>
        <v>4112241.4871543124</v>
      </c>
      <c r="H56" s="46" t="str">
        <f>"14-IncentivePlant, L "&amp;'14-IncentivePlant'!A62&amp;", Col. 1"</f>
        <v>14-IncentivePlant, L 21, Col. 1</v>
      </c>
    </row>
    <row r="57" spans="1:9" ht="13">
      <c r="A57" s="2">
        <f>A56+1</f>
        <v>18</v>
      </c>
      <c r="B57" s="2"/>
      <c r="C57" s="114"/>
      <c r="D57" s="95"/>
      <c r="G57" s="14"/>
    </row>
    <row r="58" spans="1:9" ht="13">
      <c r="A58" s="2">
        <f>A57+1</f>
        <v>19</v>
      </c>
      <c r="B58" s="2"/>
      <c r="C58" s="186" t="s">
        <v>506</v>
      </c>
      <c r="G58" s="14"/>
    </row>
    <row r="59" spans="1:9" ht="13">
      <c r="A59" s="2">
        <f>A58+1</f>
        <v>20</v>
      </c>
      <c r="F59" s="474" t="s">
        <v>1456</v>
      </c>
      <c r="G59" s="63">
        <f>SUM(G54:G57)</f>
        <v>25263750.677767433</v>
      </c>
      <c r="H59" s="480" t="s">
        <v>1661</v>
      </c>
    </row>
    <row r="60" spans="1:9">
      <c r="H60" s="480" t="s">
        <v>1662</v>
      </c>
      <c r="I60" s="7"/>
    </row>
    <row r="61" spans="1:9" ht="13">
      <c r="B61" s="1" t="s">
        <v>1513</v>
      </c>
    </row>
    <row r="63" spans="1:9" ht="13">
      <c r="C63" s="1" t="s">
        <v>1514</v>
      </c>
    </row>
    <row r="65" spans="1:7" ht="13">
      <c r="E65" s="502" t="s">
        <v>10</v>
      </c>
    </row>
    <row r="66" spans="1:7" ht="13">
      <c r="C66" s="502" t="s">
        <v>8</v>
      </c>
      <c r="E66" s="502" t="s">
        <v>299</v>
      </c>
    </row>
    <row r="67" spans="1:7" ht="13">
      <c r="A67" s="51" t="s">
        <v>330</v>
      </c>
      <c r="C67" s="3" t="s">
        <v>224</v>
      </c>
      <c r="E67" s="3" t="s">
        <v>3</v>
      </c>
      <c r="F67" s="3" t="s">
        <v>179</v>
      </c>
    </row>
    <row r="68" spans="1:7" ht="13">
      <c r="A68" s="502">
        <f>A59+1</f>
        <v>21</v>
      </c>
      <c r="C68" t="s">
        <v>225</v>
      </c>
      <c r="E68" s="7">
        <f>'14-IncentivePlant'!G60</f>
        <v>143115066.53896901</v>
      </c>
      <c r="F68" s="475" t="str">
        <f>"14-IncentivePlant, L "&amp;'14-IncentivePlant'!A60&amp;", Col. 3"</f>
        <v>14-IncentivePlant, L 19, Col. 3</v>
      </c>
      <c r="G68" s="14"/>
    </row>
    <row r="69" spans="1:7" ht="13">
      <c r="A69" s="502">
        <f>A68+1</f>
        <v>22</v>
      </c>
      <c r="C69" t="s">
        <v>226</v>
      </c>
      <c r="E69" s="7">
        <f>'14-IncentivePlant'!G61</f>
        <v>2626780479.4294782</v>
      </c>
      <c r="F69" s="475" t="str">
        <f>"14-IncentivePlant, L "&amp;'14-IncentivePlant'!A61&amp;", Col. 3"</f>
        <v>14-IncentivePlant, L 20, Col. 3</v>
      </c>
      <c r="G69" s="14"/>
    </row>
    <row r="70" spans="1:7" ht="13">
      <c r="A70" s="502">
        <f>A69+1</f>
        <v>23</v>
      </c>
      <c r="C70" s="476" t="s">
        <v>2161</v>
      </c>
      <c r="E70" s="7">
        <f>'14-IncentivePlant'!G62</f>
        <v>659274150.85827935</v>
      </c>
      <c r="F70" s="475" t="str">
        <f>"14-IncentivePlant, L "&amp;'14-IncentivePlant'!A62&amp;", Col. 3"</f>
        <v>14-IncentivePlant, L 21, Col. 3</v>
      </c>
      <c r="G70" s="14"/>
    </row>
    <row r="71" spans="1:7" ht="13">
      <c r="A71" s="502">
        <f>A70+1</f>
        <v>24</v>
      </c>
      <c r="C71" s="114"/>
      <c r="F71" s="475"/>
      <c r="G71" s="14"/>
    </row>
    <row r="72" spans="1:7">
      <c r="C72" s="503" t="s">
        <v>506</v>
      </c>
      <c r="F72" s="14"/>
      <c r="G72" s="14"/>
    </row>
    <row r="73" spans="1:7">
      <c r="C73" s="503"/>
      <c r="F73" s="14"/>
      <c r="G73" s="14"/>
    </row>
    <row r="74" spans="1:7" ht="13">
      <c r="C74" s="1" t="s">
        <v>1515</v>
      </c>
      <c r="F74" s="14"/>
      <c r="G74" s="14"/>
    </row>
    <row r="75" spans="1:7" ht="13">
      <c r="C75" s="1"/>
      <c r="F75" s="14"/>
      <c r="G75" s="14"/>
    </row>
    <row r="76" spans="1:7" ht="13">
      <c r="E76" s="3" t="s">
        <v>359</v>
      </c>
      <c r="F76" s="123" t="s">
        <v>343</v>
      </c>
      <c r="G76" s="14"/>
    </row>
    <row r="77" spans="1:7" ht="13">
      <c r="E77" s="3"/>
      <c r="F77" s="109" t="s">
        <v>1516</v>
      </c>
      <c r="G77" s="14"/>
    </row>
    <row r="78" spans="1:7" ht="13">
      <c r="E78" s="502" t="s">
        <v>279</v>
      </c>
      <c r="F78" s="109" t="s">
        <v>279</v>
      </c>
      <c r="G78" s="14"/>
    </row>
    <row r="79" spans="1:7" ht="13">
      <c r="C79" s="502" t="s">
        <v>8</v>
      </c>
      <c r="E79" s="502" t="s">
        <v>8</v>
      </c>
      <c r="F79" s="109" t="s">
        <v>8</v>
      </c>
      <c r="G79" s="14"/>
    </row>
    <row r="80" spans="1:7" ht="13">
      <c r="A80" s="51" t="s">
        <v>330</v>
      </c>
      <c r="C80" s="3" t="s">
        <v>224</v>
      </c>
      <c r="E80" s="3" t="s">
        <v>276</v>
      </c>
      <c r="F80" s="123" t="s">
        <v>276</v>
      </c>
      <c r="G80" s="123" t="s">
        <v>179</v>
      </c>
    </row>
    <row r="81" spans="1:7" ht="13">
      <c r="A81" s="502">
        <f>A71+1</f>
        <v>25</v>
      </c>
      <c r="C81" t="s">
        <v>225</v>
      </c>
      <c r="E81" s="63">
        <f>(E68/1000000)*(F54*$G$17)</f>
        <v>669513.25934616034</v>
      </c>
      <c r="F81" s="63">
        <f>E81*(1-$G$16)</f>
        <v>482159.34690376825</v>
      </c>
      <c r="G81" s="475" t="s">
        <v>212</v>
      </c>
    </row>
    <row r="82" spans="1:7" ht="13">
      <c r="A82" s="502">
        <f>A81+1</f>
        <v>26</v>
      </c>
      <c r="C82" t="s">
        <v>226</v>
      </c>
      <c r="E82" s="63">
        <f>(E69/1000000)*(F55*$G$17)</f>
        <v>20480773.535361607</v>
      </c>
      <c r="F82" s="63">
        <f>E82*(1-$G$16)</f>
        <v>14749515.792320156</v>
      </c>
      <c r="G82" s="475" t="s">
        <v>212</v>
      </c>
    </row>
    <row r="83" spans="1:7" ht="13">
      <c r="A83" s="502">
        <f>A82+1</f>
        <v>27</v>
      </c>
      <c r="C83" s="476" t="s">
        <v>2161</v>
      </c>
      <c r="E83" s="63">
        <f>(E70/1000000)*(F56*$G$17)</f>
        <v>4112241.4871543124</v>
      </c>
      <c r="F83" s="63">
        <f>E83*(1-$G$16)</f>
        <v>2961488.2783549982</v>
      </c>
      <c r="G83" s="475" t="s">
        <v>212</v>
      </c>
    </row>
    <row r="84" spans="1:7" ht="13">
      <c r="A84" s="502">
        <f>A83+1</f>
        <v>28</v>
      </c>
      <c r="C84" s="114"/>
      <c r="E84" s="63"/>
      <c r="F84" s="63"/>
      <c r="G84" s="475" t="s">
        <v>212</v>
      </c>
    </row>
    <row r="85" spans="1:7" ht="13">
      <c r="A85" s="502">
        <f>A84+1</f>
        <v>29</v>
      </c>
      <c r="C85" s="503" t="s">
        <v>506</v>
      </c>
      <c r="E85" s="63"/>
      <c r="F85" s="63"/>
      <c r="G85" s="14"/>
    </row>
    <row r="86" spans="1:7" ht="13">
      <c r="A86" s="502">
        <f>A85+1</f>
        <v>30</v>
      </c>
      <c r="E86" s="918" t="s">
        <v>4</v>
      </c>
      <c r="F86" s="63">
        <f>SUM(F81:F85)</f>
        <v>18193163.417578921</v>
      </c>
      <c r="G86" s="14"/>
    </row>
    <row r="87" spans="1:7">
      <c r="E87" s="14"/>
      <c r="F87" s="14"/>
      <c r="G87" s="14"/>
    </row>
    <row r="88" spans="1:7" ht="13">
      <c r="C88" s="1" t="s">
        <v>1517</v>
      </c>
      <c r="F88" s="14"/>
      <c r="G88" s="14"/>
    </row>
    <row r="89" spans="1:7" ht="13">
      <c r="A89" s="51" t="s">
        <v>330</v>
      </c>
      <c r="F89" s="123" t="s">
        <v>175</v>
      </c>
      <c r="G89" s="123" t="s">
        <v>179</v>
      </c>
    </row>
    <row r="90" spans="1:7" ht="13">
      <c r="A90" s="502">
        <f>A86+1</f>
        <v>31</v>
      </c>
      <c r="E90" s="474" t="s">
        <v>1518</v>
      </c>
      <c r="F90" s="63">
        <f>'4-TUTRR'!J29</f>
        <v>6086095092.0055637</v>
      </c>
      <c r="G90" s="475" t="str">
        <f>"4-TUTRR, Line "&amp;'4-TUTRR'!A29&amp;""</f>
        <v>4-TUTRR, Line 18</v>
      </c>
    </row>
    <row r="91" spans="1:7" ht="13">
      <c r="A91" s="502">
        <f>A90+1</f>
        <v>32</v>
      </c>
      <c r="E91" s="474" t="s">
        <v>1519</v>
      </c>
      <c r="F91" s="110">
        <f>'4-TUTRR'!J24</f>
        <v>602185189.09144735</v>
      </c>
      <c r="G91" s="475" t="str">
        <f>"4-TUTRR, Line "&amp;'4-TUTRR'!A24&amp;""</f>
        <v>4-TUTRR, Line 14</v>
      </c>
    </row>
    <row r="92" spans="1:7" ht="13">
      <c r="A92" s="502">
        <f>A91+1</f>
        <v>33</v>
      </c>
      <c r="E92" s="474" t="s">
        <v>1520</v>
      </c>
      <c r="F92" s="63">
        <f>F90-F91</f>
        <v>5483909902.9141159</v>
      </c>
      <c r="G92" s="112" t="str">
        <f>"Line "&amp;A90&amp;" - Line "&amp;A91&amp;""</f>
        <v>Line 31 - Line 32</v>
      </c>
    </row>
    <row r="93" spans="1:7" ht="13">
      <c r="A93" s="502">
        <f>A92+1</f>
        <v>34</v>
      </c>
      <c r="E93" s="474" t="s">
        <v>1521</v>
      </c>
      <c r="F93" s="67">
        <f>'1-BaseTRR'!K80</f>
        <v>0.44920436733331198</v>
      </c>
      <c r="G93" s="475" t="str">
        <f>"1-BaseTRR, Line "&amp;'1-BaseTRR'!A80&amp;""</f>
        <v>1-BaseTRR, Line 47</v>
      </c>
    </row>
    <row r="94" spans="1:7" ht="13">
      <c r="A94" s="502">
        <f>A93+1</f>
        <v>35</v>
      </c>
      <c r="E94" s="474" t="s">
        <v>1522</v>
      </c>
      <c r="F94" s="63">
        <f>F92*F93</f>
        <v>2463396278.4514198</v>
      </c>
      <c r="G94" s="16" t="str">
        <f>"Line "&amp;A92&amp;" * Line "&amp;A93&amp;""</f>
        <v>Line 33 * Line 34</v>
      </c>
    </row>
    <row r="95" spans="1:7">
      <c r="F95" s="14"/>
    </row>
    <row r="96" spans="1:7" ht="13">
      <c r="C96" s="1" t="s">
        <v>1523</v>
      </c>
    </row>
    <row r="97" spans="1:8" ht="13">
      <c r="A97" s="51" t="s">
        <v>330</v>
      </c>
    </row>
    <row r="98" spans="1:8" ht="13">
      <c r="A98" s="502">
        <f>A94+1</f>
        <v>36</v>
      </c>
      <c r="E98" s="474" t="s">
        <v>1524</v>
      </c>
      <c r="F98" s="42">
        <f>F86/F94</f>
        <v>7.385398596532671E-3</v>
      </c>
      <c r="G98" s="112" t="str">
        <f>"Line "&amp;A86&amp;" / Line "&amp;A94&amp;""</f>
        <v>Line 30 / Line 35</v>
      </c>
      <c r="H98" s="14"/>
    </row>
    <row r="99" spans="1:8" ht="13">
      <c r="A99" s="502">
        <f>A98+1</f>
        <v>37</v>
      </c>
      <c r="E99" s="474" t="s">
        <v>1525</v>
      </c>
      <c r="G99" s="14"/>
      <c r="H99" s="14"/>
    </row>
    <row r="100" spans="1:8" ht="13">
      <c r="A100" s="502">
        <f>A99+1</f>
        <v>38</v>
      </c>
      <c r="E100" s="474" t="s">
        <v>1526</v>
      </c>
      <c r="F100" s="504">
        <f>'1-BaseTRR'!K85</f>
        <v>0.112</v>
      </c>
      <c r="G100" s="475" t="str">
        <f>"1-BaseTRR, Line "&amp;'1-BaseTRR'!A85&amp;""</f>
        <v>1-BaseTRR, Line 50</v>
      </c>
      <c r="H100" s="14"/>
    </row>
    <row r="101" spans="1:8" ht="13">
      <c r="A101" s="502">
        <f>A100+1</f>
        <v>39</v>
      </c>
      <c r="E101" s="474" t="s">
        <v>1527</v>
      </c>
      <c r="F101" s="42">
        <f>F98+F100</f>
        <v>0.11938539859653267</v>
      </c>
      <c r="G101" s="112" t="str">
        <f>"Line "&amp;A98&amp;" + Line "&amp;A100&amp;""</f>
        <v>Line 36 + Line 38</v>
      </c>
      <c r="H101" s="14"/>
    </row>
    <row r="103" spans="1:8" ht="13">
      <c r="B103" s="1" t="s">
        <v>378</v>
      </c>
    </row>
    <row r="104" spans="1:8">
      <c r="B104" s="476" t="s">
        <v>529</v>
      </c>
    </row>
    <row r="105" spans="1:8">
      <c r="B105" s="476" t="s">
        <v>530</v>
      </c>
    </row>
    <row r="107" spans="1:8" ht="13">
      <c r="B107" s="1" t="s">
        <v>230</v>
      </c>
    </row>
    <row r="108" spans="1:8">
      <c r="B108" s="476" t="str">
        <f>"1) Column 1: The True Up Incentive Adder for each Incentive Project equals the IREF on Line "&amp;A17&amp;","</f>
        <v>1) Column 1: The True Up Incentive Adder for each Incentive Project equals the IREF on Line 3,</v>
      </c>
    </row>
    <row r="109" spans="1:8">
      <c r="B109" s="476" t="str">
        <f>"times the applicable Multiplicative Factor on Lines "&amp;A54&amp;" to "&amp;A57&amp;", times the million $ of"</f>
        <v>times the applicable Multiplicative Factor on Lines 15 to 18, times the million $ of</v>
      </c>
    </row>
    <row r="110" spans="1:8">
      <c r="B110" s="476" t="str">
        <f>"TIP Net Plant In Service on Lines "&amp;A68&amp;" to "&amp;A71&amp;"."</f>
        <v>TIP Net Plant In Service on Lines 21 to 24.</v>
      </c>
    </row>
    <row r="111" spans="1:8">
      <c r="B111" s="476" t="s">
        <v>1528</v>
      </c>
    </row>
    <row r="112" spans="1:8">
      <c r="B112" s="476"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&amp;RTO2021 Annual Update
Attachment 5
TO2018 True Up TRR</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90" zoomScaleNormal="90" zoomScalePageLayoutView="50" workbookViewId="0"/>
  </sheetViews>
  <sheetFormatPr defaultColWidth="9.453125" defaultRowHeight="12.5"/>
  <cols>
    <col min="1" max="1" width="4.54296875" style="640" customWidth="1"/>
    <col min="2" max="2" width="6" style="640" customWidth="1"/>
    <col min="3" max="3" width="15.54296875" style="640" customWidth="1"/>
    <col min="4" max="4" width="9.453125" style="640" customWidth="1"/>
    <col min="5" max="6" width="14.54296875" style="640" customWidth="1"/>
    <col min="7" max="7" width="16" style="640" bestFit="1" customWidth="1"/>
    <col min="8" max="8" width="18.453125" style="640" customWidth="1"/>
    <col min="9" max="10" width="15.54296875" style="640" customWidth="1"/>
    <col min="11" max="11" width="16.54296875" style="640" customWidth="1"/>
    <col min="12" max="13" width="15.54296875" style="640" customWidth="1"/>
    <col min="14" max="14" width="16.54296875" style="640" customWidth="1"/>
    <col min="15" max="16" width="15.54296875" style="640" customWidth="1"/>
    <col min="17" max="17" width="2.54296875" style="640" customWidth="1"/>
    <col min="18" max="21" width="18.54296875" style="640" customWidth="1"/>
    <col min="22" max="22" width="15.54296875" style="640" customWidth="1"/>
    <col min="23" max="23" width="20.54296875" style="640" bestFit="1" customWidth="1"/>
    <col min="24" max="40" width="15.54296875" style="640" customWidth="1"/>
    <col min="41" max="16384" width="9.453125" style="640"/>
  </cols>
  <sheetData>
    <row r="1" spans="1:40" ht="13">
      <c r="A1" s="603" t="s">
        <v>1427</v>
      </c>
    </row>
    <row r="2" spans="1:40">
      <c r="F2" s="641" t="s">
        <v>349</v>
      </c>
      <c r="G2" s="641"/>
    </row>
    <row r="3" spans="1:40">
      <c r="B3" s="604" t="s">
        <v>1428</v>
      </c>
    </row>
    <row r="4" spans="1:40">
      <c r="B4" s="604" t="s">
        <v>1951</v>
      </c>
    </row>
    <row r="5" spans="1:40">
      <c r="B5" s="604" t="s">
        <v>1952</v>
      </c>
    </row>
    <row r="6" spans="1:40">
      <c r="B6" s="604"/>
    </row>
    <row r="7" spans="1:40" ht="13">
      <c r="B7" s="603" t="s">
        <v>1953</v>
      </c>
      <c r="H7" s="604"/>
      <c r="I7" s="604"/>
    </row>
    <row r="8" spans="1:40" ht="13">
      <c r="B8" s="604"/>
      <c r="E8" s="642" t="s">
        <v>359</v>
      </c>
      <c r="F8" s="642" t="s">
        <v>343</v>
      </c>
      <c r="G8" s="642" t="s">
        <v>344</v>
      </c>
      <c r="H8" s="642" t="s">
        <v>345</v>
      </c>
      <c r="I8" s="642" t="s">
        <v>346</v>
      </c>
      <c r="J8" s="642" t="s">
        <v>347</v>
      </c>
      <c r="K8" s="642" t="s">
        <v>348</v>
      </c>
      <c r="L8" s="642" t="s">
        <v>537</v>
      </c>
      <c r="M8" s="642" t="s">
        <v>954</v>
      </c>
      <c r="N8" s="642" t="s">
        <v>967</v>
      </c>
      <c r="O8" s="642" t="s">
        <v>970</v>
      </c>
      <c r="P8" s="642" t="s">
        <v>988</v>
      </c>
      <c r="T8" s="642"/>
      <c r="U8" s="642"/>
      <c r="X8" s="643"/>
      <c r="Y8" s="643"/>
      <c r="Z8" s="643"/>
      <c r="AA8" s="643"/>
      <c r="AB8" s="643"/>
      <c r="AC8" s="643"/>
      <c r="AD8" s="643"/>
      <c r="AE8" s="643"/>
      <c r="AF8" s="643"/>
      <c r="AG8" s="643"/>
      <c r="AH8" s="643"/>
      <c r="AI8" s="643"/>
      <c r="AJ8" s="643"/>
      <c r="AK8" s="643"/>
      <c r="AL8" s="643"/>
      <c r="AM8" s="643"/>
      <c r="AN8" s="643"/>
    </row>
    <row r="9" spans="1:40">
      <c r="B9" s="604"/>
      <c r="E9" s="644" t="s">
        <v>211</v>
      </c>
      <c r="F9" s="644" t="s">
        <v>211</v>
      </c>
      <c r="G9" s="644" t="s">
        <v>211</v>
      </c>
      <c r="H9" s="644" t="s">
        <v>211</v>
      </c>
      <c r="I9" s="644" t="s">
        <v>211</v>
      </c>
      <c r="J9" s="644" t="s">
        <v>211</v>
      </c>
      <c r="K9" s="644" t="s">
        <v>211</v>
      </c>
      <c r="L9" s="644" t="s">
        <v>211</v>
      </c>
      <c r="M9" s="644" t="s">
        <v>211</v>
      </c>
      <c r="N9" s="644" t="s">
        <v>211</v>
      </c>
      <c r="O9" s="644" t="s">
        <v>211</v>
      </c>
      <c r="P9" s="644" t="s">
        <v>211</v>
      </c>
      <c r="Q9" s="646"/>
    </row>
    <row r="10" spans="1:40" ht="13">
      <c r="C10" s="647" t="s">
        <v>198</v>
      </c>
      <c r="E10" s="647" t="s">
        <v>1924</v>
      </c>
      <c r="F10" s="647"/>
      <c r="G10" s="647"/>
      <c r="H10" s="648"/>
      <c r="I10" s="648" t="s">
        <v>1909</v>
      </c>
      <c r="J10" s="648"/>
      <c r="K10" s="648"/>
      <c r="L10" s="648"/>
      <c r="M10" s="648"/>
      <c r="O10" s="647" t="s">
        <v>1924</v>
      </c>
      <c r="P10" s="647" t="s">
        <v>1954</v>
      </c>
      <c r="T10" s="648"/>
      <c r="U10" s="648"/>
      <c r="X10" s="648"/>
      <c r="Y10" s="648"/>
      <c r="Z10" s="648"/>
      <c r="AA10" s="648"/>
      <c r="AB10" s="648"/>
      <c r="AC10" s="648"/>
      <c r="AD10" s="648"/>
      <c r="AE10" s="648"/>
      <c r="AF10" s="648"/>
      <c r="AG10" s="648"/>
      <c r="AH10" s="648"/>
      <c r="AI10" s="648"/>
      <c r="AJ10" s="648"/>
      <c r="AK10" s="648"/>
      <c r="AL10" s="648"/>
      <c r="AM10" s="648"/>
      <c r="AN10" s="648"/>
    </row>
    <row r="11" spans="1:40" ht="13">
      <c r="B11" s="603"/>
      <c r="C11" s="647" t="s">
        <v>199</v>
      </c>
      <c r="E11" s="647" t="s">
        <v>196</v>
      </c>
      <c r="F11" s="647" t="s">
        <v>1926</v>
      </c>
      <c r="G11" s="648" t="s">
        <v>1927</v>
      </c>
      <c r="H11" s="648" t="s">
        <v>1910</v>
      </c>
      <c r="I11" s="648" t="s">
        <v>1955</v>
      </c>
      <c r="J11" s="648"/>
      <c r="K11" s="648" t="s">
        <v>297</v>
      </c>
      <c r="L11" s="648" t="s">
        <v>1086</v>
      </c>
      <c r="M11" s="648" t="s">
        <v>297</v>
      </c>
      <c r="O11" s="648" t="s">
        <v>1613</v>
      </c>
      <c r="P11" s="648" t="s">
        <v>1613</v>
      </c>
      <c r="T11" s="648"/>
      <c r="U11" s="648"/>
      <c r="X11" s="648"/>
      <c r="Y11" s="648"/>
      <c r="Z11" s="648"/>
      <c r="AA11" s="648"/>
      <c r="AB11" s="648"/>
      <c r="AC11" s="648"/>
      <c r="AD11" s="648"/>
      <c r="AE11" s="648"/>
      <c r="AF11" s="648"/>
      <c r="AG11" s="648"/>
      <c r="AH11" s="648"/>
      <c r="AI11" s="648"/>
      <c r="AJ11" s="648"/>
      <c r="AK11" s="648"/>
      <c r="AL11" s="648"/>
      <c r="AM11" s="648"/>
      <c r="AN11" s="648"/>
    </row>
    <row r="12" spans="1:40" ht="13">
      <c r="A12" s="649" t="s">
        <v>330</v>
      </c>
      <c r="C12" s="630" t="s">
        <v>192</v>
      </c>
      <c r="D12" s="630" t="s">
        <v>193</v>
      </c>
      <c r="E12" s="643" t="s">
        <v>1930</v>
      </c>
      <c r="F12" s="643" t="s">
        <v>1931</v>
      </c>
      <c r="G12" s="650" t="s">
        <v>1932</v>
      </c>
      <c r="H12" s="650" t="s">
        <v>1020</v>
      </c>
      <c r="I12" s="650" t="s">
        <v>1006</v>
      </c>
      <c r="J12" s="650" t="s">
        <v>1909</v>
      </c>
      <c r="K12" s="650" t="s">
        <v>458</v>
      </c>
      <c r="L12" s="650" t="s">
        <v>1915</v>
      </c>
      <c r="M12" s="650" t="s">
        <v>1318</v>
      </c>
      <c r="N12" s="650" t="s">
        <v>998</v>
      </c>
      <c r="O12" s="650" t="s">
        <v>1006</v>
      </c>
      <c r="P12" s="650" t="s">
        <v>1006</v>
      </c>
      <c r="T12" s="650"/>
      <c r="U12" s="650"/>
      <c r="V12" s="650"/>
      <c r="W12" s="650"/>
      <c r="X12" s="650"/>
      <c r="Y12" s="650"/>
      <c r="Z12" s="650"/>
      <c r="AA12" s="650"/>
      <c r="AB12" s="650"/>
      <c r="AC12" s="650"/>
      <c r="AD12" s="650"/>
      <c r="AE12" s="650"/>
      <c r="AF12" s="650"/>
      <c r="AG12" s="650"/>
      <c r="AH12" s="650"/>
      <c r="AI12" s="650"/>
      <c r="AJ12" s="650"/>
      <c r="AK12" s="650"/>
      <c r="AL12" s="650"/>
      <c r="AM12" s="650"/>
      <c r="AN12" s="650"/>
    </row>
    <row r="13" spans="1:40" ht="13">
      <c r="A13" s="647">
        <v>1</v>
      </c>
      <c r="C13" s="640" t="str">
        <f>C45</f>
        <v>January</v>
      </c>
      <c r="D13" s="914">
        <v>2020</v>
      </c>
      <c r="E13" s="601">
        <f t="shared" ref="E13:P13" si="0">E45+E76</f>
        <v>8174829.5742745548</v>
      </c>
      <c r="F13" s="601">
        <f t="shared" si="0"/>
        <v>626093.30416666798</v>
      </c>
      <c r="G13" s="601">
        <f t="shared" si="0"/>
        <v>566155.22025809146</v>
      </c>
      <c r="H13" s="601">
        <f t="shared" si="0"/>
        <v>506949.91584447824</v>
      </c>
      <c r="I13" s="601">
        <f t="shared" si="0"/>
        <v>5829924.0322114993</v>
      </c>
      <c r="J13" s="601">
        <f t="shared" si="0"/>
        <v>174897.72096634496</v>
      </c>
      <c r="K13" s="601">
        <f t="shared" si="0"/>
        <v>8408932.5996545125</v>
      </c>
      <c r="L13" s="601">
        <f t="shared" si="0"/>
        <v>0</v>
      </c>
      <c r="M13" s="601">
        <f>M45+M76</f>
        <v>0</v>
      </c>
      <c r="N13" s="601">
        <f t="shared" si="0"/>
        <v>8408932.5996545125</v>
      </c>
      <c r="O13" s="601">
        <f t="shared" si="0"/>
        <v>0</v>
      </c>
      <c r="P13" s="601">
        <f t="shared" si="0"/>
        <v>0</v>
      </c>
      <c r="T13" s="651"/>
      <c r="U13" s="651"/>
      <c r="V13" s="652"/>
      <c r="W13" s="651"/>
      <c r="X13" s="653"/>
      <c r="Y13" s="488"/>
      <c r="Z13" s="651"/>
      <c r="AA13" s="651"/>
      <c r="AB13" s="651"/>
      <c r="AC13" s="651"/>
      <c r="AD13" s="651"/>
      <c r="AE13" s="651"/>
      <c r="AF13" s="651"/>
      <c r="AG13" s="651"/>
      <c r="AH13" s="651"/>
      <c r="AI13" s="651"/>
      <c r="AJ13" s="651"/>
      <c r="AK13" s="651"/>
      <c r="AL13" s="651"/>
      <c r="AM13" s="651"/>
      <c r="AN13" s="651"/>
    </row>
    <row r="14" spans="1:40" ht="13">
      <c r="A14" s="647">
        <f>A13+1</f>
        <v>2</v>
      </c>
      <c r="C14" s="640" t="str">
        <f t="shared" ref="C14:C29" si="1">C46</f>
        <v>February</v>
      </c>
      <c r="D14" s="914">
        <v>2020</v>
      </c>
      <c r="E14" s="601">
        <f t="shared" ref="E14:P14" si="2">E46+E77</f>
        <v>10369359.188474549</v>
      </c>
      <c r="F14" s="601">
        <f t="shared" si="2"/>
        <v>2570581.6741666654</v>
      </c>
      <c r="G14" s="601">
        <f t="shared" si="2"/>
        <v>584908.31357309117</v>
      </c>
      <c r="H14" s="601">
        <f t="shared" si="2"/>
        <v>541464.63984447788</v>
      </c>
      <c r="I14" s="601">
        <f t="shared" si="2"/>
        <v>6226843.3582114959</v>
      </c>
      <c r="J14" s="601">
        <f t="shared" si="2"/>
        <v>186805.30074634487</v>
      </c>
      <c r="K14" s="601">
        <f t="shared" si="2"/>
        <v>19008540.762604021</v>
      </c>
      <c r="L14" s="601">
        <f t="shared" si="2"/>
        <v>17837.518792624596</v>
      </c>
      <c r="M14" s="601">
        <f t="shared" si="2"/>
        <v>17837.518792624596</v>
      </c>
      <c r="N14" s="601">
        <f t="shared" si="2"/>
        <v>18990703.243811395</v>
      </c>
      <c r="O14" s="601">
        <f t="shared" si="2"/>
        <v>0</v>
      </c>
      <c r="P14" s="601">
        <f t="shared" si="2"/>
        <v>0</v>
      </c>
      <c r="T14" s="651"/>
      <c r="U14" s="651"/>
      <c r="V14" s="652"/>
      <c r="W14" s="651"/>
      <c r="X14" s="653"/>
      <c r="Y14" s="488"/>
      <c r="Z14" s="651"/>
      <c r="AA14" s="651"/>
      <c r="AB14" s="651"/>
      <c r="AC14" s="651"/>
      <c r="AD14" s="651"/>
      <c r="AE14" s="651"/>
      <c r="AF14" s="651"/>
      <c r="AG14" s="651"/>
      <c r="AH14" s="651"/>
      <c r="AI14" s="651"/>
      <c r="AJ14" s="651"/>
      <c r="AK14" s="651"/>
      <c r="AL14" s="651"/>
      <c r="AM14" s="651"/>
      <c r="AN14" s="651"/>
    </row>
    <row r="15" spans="1:40" ht="13">
      <c r="A15" s="647">
        <f t="shared" ref="A15:A37" si="3">A14+1</f>
        <v>3</v>
      </c>
      <c r="C15" s="640" t="str">
        <f t="shared" si="1"/>
        <v>March</v>
      </c>
      <c r="D15" s="914">
        <v>2020</v>
      </c>
      <c r="E15" s="601">
        <f t="shared" ref="E15:P15" si="4">E47+E78</f>
        <v>7966306.4694745559</v>
      </c>
      <c r="F15" s="601">
        <f t="shared" si="4"/>
        <v>728519.90416666807</v>
      </c>
      <c r="G15" s="601">
        <f t="shared" si="4"/>
        <v>542833.99239809159</v>
      </c>
      <c r="H15" s="601">
        <f t="shared" si="4"/>
        <v>537750.72984447842</v>
      </c>
      <c r="I15" s="601">
        <f t="shared" si="4"/>
        <v>6184133.3932115007</v>
      </c>
      <c r="J15" s="601">
        <f t="shared" si="4"/>
        <v>185524.00179634502</v>
      </c>
      <c r="K15" s="601">
        <f t="shared" si="4"/>
        <v>27165454.496428534</v>
      </c>
      <c r="L15" s="601">
        <f t="shared" si="4"/>
        <v>40322.026494450758</v>
      </c>
      <c r="M15" s="601">
        <f t="shared" si="4"/>
        <v>58159.545287075351</v>
      </c>
      <c r="N15" s="601">
        <f t="shared" si="4"/>
        <v>27107294.951141458</v>
      </c>
      <c r="O15" s="601">
        <f t="shared" si="4"/>
        <v>0</v>
      </c>
      <c r="P15" s="601">
        <f t="shared" si="4"/>
        <v>0</v>
      </c>
      <c r="T15" s="651"/>
      <c r="U15" s="651"/>
      <c r="V15" s="652"/>
      <c r="W15" s="651"/>
      <c r="X15" s="653"/>
      <c r="Y15" s="488"/>
      <c r="Z15" s="651"/>
      <c r="AA15" s="651"/>
      <c r="AB15" s="651"/>
      <c r="AC15" s="651"/>
      <c r="AD15" s="651"/>
      <c r="AE15" s="651"/>
      <c r="AF15" s="651"/>
      <c r="AG15" s="651"/>
      <c r="AH15" s="651"/>
      <c r="AI15" s="651"/>
      <c r="AJ15" s="651"/>
      <c r="AK15" s="651"/>
      <c r="AL15" s="651"/>
      <c r="AM15" s="651"/>
      <c r="AN15" s="651"/>
    </row>
    <row r="16" spans="1:40" ht="13">
      <c r="A16" s="647">
        <f t="shared" si="3"/>
        <v>4</v>
      </c>
      <c r="C16" s="640" t="str">
        <f t="shared" si="1"/>
        <v>April</v>
      </c>
      <c r="D16" s="914">
        <v>2020</v>
      </c>
      <c r="E16" s="601">
        <f t="shared" ref="E16:P16" si="5">E48+E79</f>
        <v>6738191.0774745541</v>
      </c>
      <c r="F16" s="601">
        <f t="shared" si="5"/>
        <v>626093.30416666798</v>
      </c>
      <c r="G16" s="601">
        <f t="shared" si="5"/>
        <v>458407.33299809147</v>
      </c>
      <c r="H16" s="601">
        <f t="shared" si="5"/>
        <v>506949.91584447824</v>
      </c>
      <c r="I16" s="601">
        <f t="shared" si="5"/>
        <v>5829924.0322114993</v>
      </c>
      <c r="J16" s="601">
        <f t="shared" si="5"/>
        <v>174897.72096634496</v>
      </c>
      <c r="K16" s="601">
        <f t="shared" si="5"/>
        <v>34030000.712023042</v>
      </c>
      <c r="L16" s="601">
        <f t="shared" si="5"/>
        <v>57624.948154554244</v>
      </c>
      <c r="M16" s="601">
        <f t="shared" si="5"/>
        <v>115784.4934416296</v>
      </c>
      <c r="N16" s="601">
        <f t="shared" si="5"/>
        <v>33914216.218581416</v>
      </c>
      <c r="O16" s="601">
        <f t="shared" si="5"/>
        <v>0</v>
      </c>
      <c r="P16" s="601">
        <f t="shared" si="5"/>
        <v>0</v>
      </c>
      <c r="T16" s="651"/>
      <c r="U16" s="651"/>
      <c r="V16" s="652"/>
      <c r="W16" s="651"/>
      <c r="X16" s="653"/>
      <c r="Y16" s="488"/>
      <c r="Z16" s="651"/>
      <c r="AA16" s="651"/>
      <c r="AB16" s="651"/>
      <c r="AC16" s="651"/>
      <c r="AD16" s="651"/>
      <c r="AE16" s="651"/>
      <c r="AF16" s="651"/>
      <c r="AG16" s="651"/>
      <c r="AH16" s="651"/>
      <c r="AI16" s="651"/>
      <c r="AJ16" s="651"/>
      <c r="AK16" s="651"/>
      <c r="AL16" s="651"/>
      <c r="AM16" s="651"/>
      <c r="AN16" s="651"/>
    </row>
    <row r="17" spans="1:40" ht="13">
      <c r="A17" s="647">
        <f t="shared" si="3"/>
        <v>5</v>
      </c>
      <c r="C17" s="640" t="str">
        <f t="shared" si="1"/>
        <v>May</v>
      </c>
      <c r="D17" s="914">
        <v>2020</v>
      </c>
      <c r="E17" s="601">
        <f t="shared" ref="E17:P17" si="6">E49+E80</f>
        <v>30121785.137474574</v>
      </c>
      <c r="F17" s="601">
        <f t="shared" si="6"/>
        <v>21123987.364166688</v>
      </c>
      <c r="G17" s="601">
        <f t="shared" si="6"/>
        <v>674834.83299809159</v>
      </c>
      <c r="H17" s="601">
        <f t="shared" si="6"/>
        <v>761587.31584447832</v>
      </c>
      <c r="I17" s="601">
        <f t="shared" si="6"/>
        <v>8758254.1322115008</v>
      </c>
      <c r="J17" s="601">
        <f t="shared" si="6"/>
        <v>262747.62396634504</v>
      </c>
      <c r="K17" s="601">
        <f t="shared" si="6"/>
        <v>64327780.990617573</v>
      </c>
      <c r="L17" s="601">
        <f t="shared" si="6"/>
        <v>72186.424379079806</v>
      </c>
      <c r="M17" s="601">
        <f t="shared" si="6"/>
        <v>187970.91782070941</v>
      </c>
      <c r="N17" s="601">
        <f t="shared" si="6"/>
        <v>64139810.072796866</v>
      </c>
      <c r="O17" s="601">
        <f t="shared" si="6"/>
        <v>0</v>
      </c>
      <c r="P17" s="601">
        <f t="shared" si="6"/>
        <v>0</v>
      </c>
      <c r="T17" s="651"/>
      <c r="U17" s="651"/>
      <c r="V17" s="652"/>
      <c r="W17" s="651"/>
      <c r="X17" s="653"/>
      <c r="Y17" s="488"/>
      <c r="Z17" s="651"/>
      <c r="AA17" s="651"/>
      <c r="AB17" s="651"/>
      <c r="AC17" s="651"/>
      <c r="AD17" s="651"/>
      <c r="AE17" s="651"/>
      <c r="AF17" s="651"/>
      <c r="AG17" s="651"/>
      <c r="AH17" s="651"/>
      <c r="AI17" s="651"/>
      <c r="AJ17" s="651"/>
      <c r="AK17" s="651"/>
      <c r="AL17" s="651"/>
      <c r="AM17" s="651"/>
      <c r="AN17" s="651"/>
    </row>
    <row r="18" spans="1:40" ht="13">
      <c r="A18" s="647">
        <f t="shared" si="3"/>
        <v>6</v>
      </c>
      <c r="C18" s="640" t="str">
        <f t="shared" si="1"/>
        <v xml:space="preserve">June </v>
      </c>
      <c r="D18" s="914">
        <v>2020</v>
      </c>
      <c r="E18" s="601">
        <f t="shared" ref="E18:P18" si="7">E50+E81</f>
        <v>46615430.003274567</v>
      </c>
      <c r="F18" s="601">
        <f t="shared" si="7"/>
        <v>23312460.954166681</v>
      </c>
      <c r="G18" s="601">
        <f t="shared" si="7"/>
        <v>1747722.6786830917</v>
      </c>
      <c r="H18" s="601">
        <f t="shared" si="7"/>
        <v>1976336.9718444785</v>
      </c>
      <c r="I18" s="601">
        <f t="shared" si="7"/>
        <v>22727875.176211502</v>
      </c>
      <c r="J18" s="601">
        <f t="shared" si="7"/>
        <v>681836.25528634503</v>
      </c>
      <c r="K18" s="601">
        <f t="shared" si="7"/>
        <v>111396432.95601709</v>
      </c>
      <c r="L18" s="601">
        <f t="shared" si="7"/>
        <v>136455.84486610396</v>
      </c>
      <c r="M18" s="601">
        <f t="shared" si="7"/>
        <v>324426.76268681337</v>
      </c>
      <c r="N18" s="601">
        <f t="shared" si="7"/>
        <v>111072006.19333029</v>
      </c>
      <c r="O18" s="601">
        <f t="shared" si="7"/>
        <v>434796.99999999994</v>
      </c>
      <c r="P18" s="601">
        <f t="shared" si="7"/>
        <v>442014.63019999996</v>
      </c>
      <c r="T18" s="651"/>
      <c r="U18" s="651"/>
      <c r="V18" s="652"/>
      <c r="W18" s="651"/>
      <c r="X18" s="653"/>
      <c r="Y18" s="488"/>
      <c r="Z18" s="651"/>
      <c r="AA18" s="651"/>
      <c r="AB18" s="651"/>
      <c r="AC18" s="651"/>
      <c r="AD18" s="651"/>
      <c r="AE18" s="651"/>
      <c r="AF18" s="651"/>
      <c r="AG18" s="651"/>
      <c r="AH18" s="651"/>
      <c r="AI18" s="651"/>
      <c r="AJ18" s="651"/>
      <c r="AK18" s="651"/>
      <c r="AL18" s="651"/>
      <c r="AM18" s="651"/>
      <c r="AN18" s="651"/>
    </row>
    <row r="19" spans="1:40" ht="13">
      <c r="A19" s="647">
        <f t="shared" si="3"/>
        <v>7</v>
      </c>
      <c r="C19" s="640" t="str">
        <f t="shared" si="1"/>
        <v>July</v>
      </c>
      <c r="D19" s="914">
        <v>2020</v>
      </c>
      <c r="E19" s="601">
        <f t="shared" ref="E19:P19" si="8">E51+E82</f>
        <v>8608748.6074745655</v>
      </c>
      <c r="F19" s="601">
        <f t="shared" si="8"/>
        <v>1997320.8541666679</v>
      </c>
      <c r="G19" s="601">
        <f t="shared" si="8"/>
        <v>495857.08149809227</v>
      </c>
      <c r="H19" s="601">
        <f t="shared" si="8"/>
        <v>566722.42274447915</v>
      </c>
      <c r="I19" s="601">
        <f t="shared" si="8"/>
        <v>6517307.8615615107</v>
      </c>
      <c r="J19" s="601">
        <f t="shared" si="8"/>
        <v>195519.23584684532</v>
      </c>
      <c r="K19" s="601">
        <f t="shared" si="8"/>
        <v>120129835.45809212</v>
      </c>
      <c r="L19" s="601">
        <f t="shared" si="8"/>
        <v>236300.61755590001</v>
      </c>
      <c r="M19" s="601">
        <f t="shared" si="8"/>
        <v>560727.38024271338</v>
      </c>
      <c r="N19" s="601">
        <f t="shared" si="8"/>
        <v>119569108.07784942</v>
      </c>
      <c r="O19" s="601">
        <f t="shared" si="8"/>
        <v>434796.99999999994</v>
      </c>
      <c r="P19" s="601">
        <f t="shared" si="8"/>
        <v>442014.63019999996</v>
      </c>
      <c r="T19" s="651"/>
      <c r="U19" s="651"/>
      <c r="V19" s="652"/>
      <c r="W19" s="651"/>
      <c r="X19" s="653"/>
      <c r="Y19" s="488"/>
      <c r="Z19" s="651"/>
      <c r="AA19" s="651"/>
      <c r="AB19" s="651"/>
      <c r="AC19" s="651"/>
      <c r="AD19" s="651"/>
      <c r="AE19" s="651"/>
      <c r="AF19" s="651"/>
      <c r="AG19" s="651"/>
      <c r="AH19" s="651"/>
      <c r="AI19" s="651"/>
      <c r="AJ19" s="651"/>
      <c r="AK19" s="651"/>
      <c r="AL19" s="651"/>
      <c r="AM19" s="651"/>
      <c r="AN19" s="651"/>
    </row>
    <row r="20" spans="1:40" ht="13">
      <c r="A20" s="647">
        <f t="shared" si="3"/>
        <v>8</v>
      </c>
      <c r="C20" s="640" t="str">
        <f t="shared" si="1"/>
        <v>August</v>
      </c>
      <c r="D20" s="914">
        <v>2020</v>
      </c>
      <c r="E20" s="601">
        <f t="shared" ref="E20:P20" si="9">E52+E83</f>
        <v>43125119.707474485</v>
      </c>
      <c r="F20" s="601">
        <f t="shared" si="9"/>
        <v>15714170.064166641</v>
      </c>
      <c r="G20" s="601">
        <f t="shared" si="9"/>
        <v>2055821.223248088</v>
      </c>
      <c r="H20" s="601">
        <f t="shared" si="9"/>
        <v>2355481.3052844745</v>
      </c>
      <c r="I20" s="601">
        <f t="shared" si="9"/>
        <v>27088035.010771457</v>
      </c>
      <c r="J20" s="601">
        <f t="shared" si="9"/>
        <v>812641.05032314372</v>
      </c>
      <c r="K20" s="601">
        <f t="shared" si="9"/>
        <v>163767936.13385335</v>
      </c>
      <c r="L20" s="601">
        <f t="shared" si="9"/>
        <v>254826.42084997307</v>
      </c>
      <c r="M20" s="601">
        <f t="shared" si="9"/>
        <v>815553.80109268648</v>
      </c>
      <c r="N20" s="601">
        <f t="shared" si="9"/>
        <v>162952382.33276066</v>
      </c>
      <c r="O20" s="601">
        <f t="shared" si="9"/>
        <v>434796.99999999994</v>
      </c>
      <c r="P20" s="601">
        <f t="shared" si="9"/>
        <v>442014.63019999996</v>
      </c>
      <c r="T20" s="651"/>
      <c r="U20" s="651"/>
      <c r="V20" s="652"/>
      <c r="W20" s="651"/>
      <c r="X20" s="653"/>
      <c r="Y20" s="488"/>
      <c r="Z20" s="651"/>
      <c r="AA20" s="651"/>
      <c r="AB20" s="651"/>
      <c r="AC20" s="651"/>
      <c r="AD20" s="651"/>
      <c r="AE20" s="651"/>
      <c r="AF20" s="651"/>
      <c r="AG20" s="651"/>
      <c r="AH20" s="651"/>
      <c r="AI20" s="651"/>
      <c r="AJ20" s="651"/>
      <c r="AK20" s="651"/>
      <c r="AL20" s="651"/>
      <c r="AM20" s="651"/>
      <c r="AN20" s="651"/>
    </row>
    <row r="21" spans="1:40" ht="13">
      <c r="A21" s="647">
        <f t="shared" si="3"/>
        <v>9</v>
      </c>
      <c r="C21" s="640" t="str">
        <f t="shared" si="1"/>
        <v>September</v>
      </c>
      <c r="D21" s="914">
        <v>2020</v>
      </c>
      <c r="E21" s="601">
        <f t="shared" ref="E21:P21" si="10">E53+E84</f>
        <v>6542491.9074745616</v>
      </c>
      <c r="F21" s="601">
        <f t="shared" si="10"/>
        <v>626093.30416666798</v>
      </c>
      <c r="G21" s="601">
        <f t="shared" si="10"/>
        <v>443729.89524809201</v>
      </c>
      <c r="H21" s="601">
        <f t="shared" si="10"/>
        <v>506949.91584447894</v>
      </c>
      <c r="I21" s="601">
        <f t="shared" si="10"/>
        <v>5829924.0322115077</v>
      </c>
      <c r="J21" s="601">
        <f t="shared" si="10"/>
        <v>174897.72096634522</v>
      </c>
      <c r="K21" s="601">
        <f t="shared" si="10"/>
        <v>170422105.74169788</v>
      </c>
      <c r="L21" s="601">
        <f t="shared" si="10"/>
        <v>347394.10784871492</v>
      </c>
      <c r="M21" s="601">
        <f t="shared" si="10"/>
        <v>1162947.9089414014</v>
      </c>
      <c r="N21" s="601">
        <f t="shared" si="10"/>
        <v>169259157.83275649</v>
      </c>
      <c r="O21" s="601">
        <f t="shared" si="10"/>
        <v>434796.99999999994</v>
      </c>
      <c r="P21" s="601">
        <f t="shared" si="10"/>
        <v>442014.63019999996</v>
      </c>
      <c r="T21" s="651"/>
      <c r="U21" s="651"/>
      <c r="V21" s="652"/>
      <c r="W21" s="651"/>
      <c r="X21" s="653"/>
      <c r="Y21" s="488"/>
      <c r="Z21" s="651"/>
      <c r="AA21" s="651"/>
      <c r="AB21" s="651"/>
      <c r="AC21" s="651"/>
      <c r="AD21" s="651"/>
      <c r="AE21" s="651"/>
      <c r="AF21" s="651"/>
      <c r="AG21" s="651"/>
      <c r="AH21" s="651"/>
      <c r="AI21" s="651"/>
      <c r="AJ21" s="651"/>
      <c r="AK21" s="651"/>
      <c r="AL21" s="651"/>
      <c r="AM21" s="651"/>
      <c r="AN21" s="651"/>
    </row>
    <row r="22" spans="1:40" ht="13">
      <c r="A22" s="647">
        <f t="shared" si="3"/>
        <v>10</v>
      </c>
      <c r="C22" s="640" t="str">
        <f t="shared" si="1"/>
        <v xml:space="preserve">October </v>
      </c>
      <c r="D22" s="914">
        <v>2020</v>
      </c>
      <c r="E22" s="601">
        <f t="shared" ref="E22:P22" si="11">E54+E85</f>
        <v>27747546.487474576</v>
      </c>
      <c r="F22" s="601">
        <f t="shared" si="11"/>
        <v>17764234.884166665</v>
      </c>
      <c r="G22" s="601">
        <f t="shared" si="11"/>
        <v>748748.37024809304</v>
      </c>
      <c r="H22" s="601">
        <f t="shared" si="11"/>
        <v>529275.51584448037</v>
      </c>
      <c r="I22" s="601">
        <f t="shared" si="11"/>
        <v>6086668.4322115248</v>
      </c>
      <c r="J22" s="601">
        <f t="shared" si="11"/>
        <v>182600.05296634574</v>
      </c>
      <c r="K22" s="601">
        <f t="shared" si="11"/>
        <v>198571725.13654241</v>
      </c>
      <c r="L22" s="601">
        <f t="shared" si="11"/>
        <v>361509.32092987513</v>
      </c>
      <c r="M22" s="601">
        <f t="shared" si="11"/>
        <v>1524457.2298712765</v>
      </c>
      <c r="N22" s="601">
        <f t="shared" si="11"/>
        <v>197047267.90667114</v>
      </c>
      <c r="O22" s="601">
        <f t="shared" si="11"/>
        <v>696152.7</v>
      </c>
      <c r="P22" s="601">
        <f t="shared" si="11"/>
        <v>707708.83481999987</v>
      </c>
      <c r="T22" s="651"/>
      <c r="U22" s="651"/>
      <c r="V22" s="652"/>
      <c r="W22" s="651"/>
      <c r="X22" s="653"/>
      <c r="Y22" s="488"/>
      <c r="Z22" s="651"/>
      <c r="AA22" s="651"/>
      <c r="AB22" s="651"/>
      <c r="AC22" s="651"/>
      <c r="AD22" s="651"/>
      <c r="AE22" s="651"/>
      <c r="AF22" s="651"/>
      <c r="AG22" s="651"/>
      <c r="AH22" s="651"/>
      <c r="AI22" s="651"/>
      <c r="AJ22" s="651"/>
      <c r="AK22" s="651"/>
      <c r="AL22" s="651"/>
      <c r="AM22" s="651"/>
      <c r="AN22" s="651"/>
    </row>
    <row r="23" spans="1:40" ht="13">
      <c r="A23" s="647">
        <f t="shared" si="3"/>
        <v>11</v>
      </c>
      <c r="C23" s="640" t="str">
        <f t="shared" si="1"/>
        <v>November</v>
      </c>
      <c r="D23" s="914">
        <v>2020</v>
      </c>
      <c r="E23" s="601">
        <f t="shared" ref="E23:P23" si="12">E55+E86</f>
        <v>14292649.657474563</v>
      </c>
      <c r="F23" s="601">
        <f t="shared" si="12"/>
        <v>4396079.0541666718</v>
      </c>
      <c r="G23" s="601">
        <f t="shared" si="12"/>
        <v>742242.7952480918</v>
      </c>
      <c r="H23" s="601">
        <f t="shared" si="12"/>
        <v>826196.70784447866</v>
      </c>
      <c r="I23" s="601">
        <f t="shared" si="12"/>
        <v>9501262.140211504</v>
      </c>
      <c r="J23" s="601">
        <f t="shared" si="12"/>
        <v>285037.86420634511</v>
      </c>
      <c r="K23" s="601">
        <f t="shared" si="12"/>
        <v>213065458.74562693</v>
      </c>
      <c r="L23" s="601">
        <f t="shared" si="12"/>
        <v>421221.937128202</v>
      </c>
      <c r="M23" s="601">
        <f t="shared" si="12"/>
        <v>1945679.1669994784</v>
      </c>
      <c r="N23" s="601">
        <f t="shared" si="12"/>
        <v>211119779.57862744</v>
      </c>
      <c r="O23" s="601">
        <f t="shared" si="12"/>
        <v>696152.7</v>
      </c>
      <c r="P23" s="601">
        <f t="shared" si="12"/>
        <v>707708.83481999987</v>
      </c>
      <c r="T23" s="651"/>
      <c r="U23" s="651"/>
      <c r="V23" s="652"/>
      <c r="W23" s="651"/>
      <c r="X23" s="653"/>
      <c r="Y23" s="488"/>
      <c r="Z23" s="651"/>
      <c r="AA23" s="651"/>
      <c r="AB23" s="651"/>
      <c r="AC23" s="651"/>
      <c r="AD23" s="651"/>
      <c r="AE23" s="651"/>
      <c r="AF23" s="651"/>
      <c r="AG23" s="651"/>
      <c r="AH23" s="651"/>
      <c r="AI23" s="651"/>
      <c r="AJ23" s="651"/>
      <c r="AK23" s="651"/>
      <c r="AL23" s="651"/>
      <c r="AM23" s="651"/>
      <c r="AN23" s="651"/>
    </row>
    <row r="24" spans="1:40" ht="13">
      <c r="A24" s="647">
        <f t="shared" si="3"/>
        <v>12</v>
      </c>
      <c r="C24" s="640" t="str">
        <f t="shared" si="1"/>
        <v>December</v>
      </c>
      <c r="D24" s="914">
        <v>2020</v>
      </c>
      <c r="E24" s="601">
        <f t="shared" ref="E24:P24" si="13">E56+E87</f>
        <v>683242531.48887444</v>
      </c>
      <c r="F24" s="601">
        <f t="shared" si="13"/>
        <v>484116030.97446656</v>
      </c>
      <c r="G24" s="601">
        <f t="shared" si="13"/>
        <v>14934487.538580589</v>
      </c>
      <c r="H24" s="601">
        <f t="shared" si="13"/>
        <v>3391641.7737158751</v>
      </c>
      <c r="I24" s="601">
        <f t="shared" si="13"/>
        <v>39003880.397732563</v>
      </c>
      <c r="J24" s="601">
        <f t="shared" si="13"/>
        <v>1170116.4119319769</v>
      </c>
      <c r="K24" s="601">
        <f t="shared" si="13"/>
        <v>909020952.41129804</v>
      </c>
      <c r="L24" s="601">
        <f t="shared" si="13"/>
        <v>451966.8910879902</v>
      </c>
      <c r="M24" s="601">
        <f t="shared" si="13"/>
        <v>2397646.0580874691</v>
      </c>
      <c r="N24" s="601">
        <f t="shared" si="13"/>
        <v>906623306.35321057</v>
      </c>
      <c r="O24" s="601">
        <f t="shared" si="13"/>
        <v>696152.7</v>
      </c>
      <c r="P24" s="601">
        <f t="shared" si="13"/>
        <v>707708.83481999987</v>
      </c>
      <c r="T24" s="651"/>
      <c r="U24" s="651"/>
      <c r="V24" s="652"/>
      <c r="W24" s="651"/>
      <c r="X24" s="653"/>
      <c r="Y24" s="488"/>
      <c r="Z24" s="651"/>
      <c r="AA24" s="651"/>
      <c r="AB24" s="651"/>
      <c r="AC24" s="651"/>
      <c r="AD24" s="651"/>
      <c r="AE24" s="651"/>
      <c r="AF24" s="651"/>
      <c r="AG24" s="651"/>
      <c r="AH24" s="651"/>
      <c r="AI24" s="651"/>
      <c r="AJ24" s="651"/>
      <c r="AK24" s="651"/>
      <c r="AL24" s="651"/>
      <c r="AM24" s="651"/>
      <c r="AN24" s="651"/>
    </row>
    <row r="25" spans="1:40" ht="13">
      <c r="A25" s="647">
        <f t="shared" si="3"/>
        <v>13</v>
      </c>
      <c r="C25" s="640" t="str">
        <f t="shared" si="1"/>
        <v>January</v>
      </c>
      <c r="D25" s="914">
        <v>2021</v>
      </c>
      <c r="E25" s="601">
        <f t="shared" ref="E25:P25" si="14">E57+E88</f>
        <v>15111767.382299781</v>
      </c>
      <c r="F25" s="601">
        <f t="shared" si="14"/>
        <v>34057.140000000007</v>
      </c>
      <c r="G25" s="601">
        <f t="shared" si="14"/>
        <v>1130828.2681724834</v>
      </c>
      <c r="H25" s="601">
        <f t="shared" si="14"/>
        <v>821137.4808377811</v>
      </c>
      <c r="I25" s="601">
        <f t="shared" si="14"/>
        <v>9443081.0296344832</v>
      </c>
      <c r="J25" s="601">
        <f t="shared" si="14"/>
        <v>283292.43088903447</v>
      </c>
      <c r="K25" s="601">
        <f t="shared" si="14"/>
        <v>924725703.01182151</v>
      </c>
      <c r="L25" s="601">
        <f t="shared" si="14"/>
        <v>1928268.3181682574</v>
      </c>
      <c r="M25" s="601">
        <f t="shared" si="14"/>
        <v>4325914.3762557264</v>
      </c>
      <c r="N25" s="601">
        <f t="shared" si="14"/>
        <v>920399788.63556576</v>
      </c>
      <c r="O25" s="601">
        <f t="shared" si="14"/>
        <v>696152.7</v>
      </c>
      <c r="P25" s="601">
        <f t="shared" si="14"/>
        <v>707708.83481999987</v>
      </c>
      <c r="T25" s="651"/>
      <c r="U25" s="651"/>
      <c r="V25" s="652"/>
      <c r="W25" s="651"/>
      <c r="X25" s="653"/>
      <c r="Y25" s="488"/>
      <c r="Z25" s="651"/>
      <c r="AA25" s="651"/>
      <c r="AB25" s="651"/>
      <c r="AC25" s="651"/>
      <c r="AD25" s="651"/>
      <c r="AE25" s="651"/>
      <c r="AF25" s="651"/>
      <c r="AG25" s="651"/>
      <c r="AH25" s="651"/>
      <c r="AI25" s="651"/>
      <c r="AJ25" s="651"/>
      <c r="AK25" s="651"/>
      <c r="AL25" s="651"/>
      <c r="AM25" s="651"/>
      <c r="AN25" s="651"/>
    </row>
    <row r="26" spans="1:40" ht="13">
      <c r="A26" s="647">
        <f t="shared" si="3"/>
        <v>14</v>
      </c>
      <c r="C26" s="640" t="str">
        <f t="shared" si="1"/>
        <v>February</v>
      </c>
      <c r="D26" s="914">
        <v>2021</v>
      </c>
      <c r="E26" s="601">
        <f t="shared" ref="E26:P26" si="15">E58+E89</f>
        <v>18746920.492299795</v>
      </c>
      <c r="F26" s="601">
        <f t="shared" si="15"/>
        <v>1312072.72</v>
      </c>
      <c r="G26" s="601">
        <f t="shared" si="15"/>
        <v>1307613.5829224847</v>
      </c>
      <c r="H26" s="601">
        <f t="shared" si="15"/>
        <v>1005103.3084177823</v>
      </c>
      <c r="I26" s="601">
        <f t="shared" si="15"/>
        <v>11558688.046804497</v>
      </c>
      <c r="J26" s="601">
        <f t="shared" si="15"/>
        <v>346760.64140413492</v>
      </c>
      <c r="K26" s="601">
        <f t="shared" si="15"/>
        <v>944121894.42003024</v>
      </c>
      <c r="L26" s="601">
        <f t="shared" si="15"/>
        <v>1961582.152076479</v>
      </c>
      <c r="M26" s="601">
        <f t="shared" si="15"/>
        <v>6287496.5283322055</v>
      </c>
      <c r="N26" s="601">
        <f t="shared" si="15"/>
        <v>937834397.891698</v>
      </c>
      <c r="O26" s="601">
        <f t="shared" si="15"/>
        <v>696152.7</v>
      </c>
      <c r="P26" s="601">
        <f t="shared" si="15"/>
        <v>707708.83481999987</v>
      </c>
      <c r="T26" s="651"/>
      <c r="U26" s="651"/>
      <c r="V26" s="652"/>
      <c r="W26" s="651"/>
      <c r="X26" s="653"/>
      <c r="Y26" s="488"/>
      <c r="Z26" s="651"/>
      <c r="AA26" s="651"/>
      <c r="AB26" s="651"/>
      <c r="AC26" s="651"/>
      <c r="AD26" s="651"/>
      <c r="AE26" s="651"/>
      <c r="AF26" s="651"/>
      <c r="AG26" s="651"/>
      <c r="AH26" s="651"/>
      <c r="AI26" s="651"/>
      <c r="AJ26" s="651"/>
      <c r="AK26" s="651"/>
      <c r="AL26" s="651"/>
      <c r="AM26" s="651"/>
      <c r="AN26" s="651"/>
    </row>
    <row r="27" spans="1:40" ht="13">
      <c r="A27" s="647">
        <f t="shared" si="3"/>
        <v>15</v>
      </c>
      <c r="C27" s="640" t="str">
        <f t="shared" si="1"/>
        <v>March</v>
      </c>
      <c r="D27" s="914">
        <v>2021</v>
      </c>
      <c r="E27" s="601">
        <f t="shared" ref="E27:P27" si="16">E59+E90</f>
        <v>18924277.608334303</v>
      </c>
      <c r="F27" s="601">
        <f t="shared" si="16"/>
        <v>216549.91603452576</v>
      </c>
      <c r="G27" s="601">
        <f t="shared" si="16"/>
        <v>1403079.5769224833</v>
      </c>
      <c r="H27" s="601">
        <f t="shared" si="16"/>
        <v>932901.05553778086</v>
      </c>
      <c r="I27" s="601">
        <f t="shared" si="16"/>
        <v>10728362.13868448</v>
      </c>
      <c r="J27" s="601">
        <f t="shared" si="16"/>
        <v>321850.8641605344</v>
      </c>
      <c r="K27" s="601">
        <f t="shared" si="16"/>
        <v>963838201.41390979</v>
      </c>
      <c r="L27" s="601">
        <f t="shared" si="16"/>
        <v>2002726.4857536785</v>
      </c>
      <c r="M27" s="601">
        <f t="shared" si="16"/>
        <v>8290223.0140858842</v>
      </c>
      <c r="N27" s="601">
        <f t="shared" si="16"/>
        <v>955547978.3998239</v>
      </c>
      <c r="O27" s="601">
        <f t="shared" si="16"/>
        <v>696152.7</v>
      </c>
      <c r="P27" s="601">
        <f t="shared" si="16"/>
        <v>707708.83481999987</v>
      </c>
      <c r="T27" s="651"/>
      <c r="U27" s="651"/>
      <c r="V27" s="652"/>
      <c r="W27" s="651"/>
      <c r="X27" s="653"/>
      <c r="Y27" s="488"/>
      <c r="Z27" s="651"/>
      <c r="AA27" s="651"/>
      <c r="AB27" s="651"/>
      <c r="AC27" s="651"/>
      <c r="AD27" s="651"/>
      <c r="AE27" s="651"/>
      <c r="AF27" s="651"/>
      <c r="AG27" s="651"/>
      <c r="AH27" s="651"/>
      <c r="AI27" s="651"/>
      <c r="AJ27" s="651"/>
      <c r="AK27" s="651"/>
      <c r="AL27" s="651"/>
      <c r="AM27" s="651"/>
      <c r="AN27" s="651"/>
    </row>
    <row r="28" spans="1:40" ht="13">
      <c r="A28" s="647">
        <f t="shared" si="3"/>
        <v>16</v>
      </c>
      <c r="C28" s="640" t="str">
        <f t="shared" si="1"/>
        <v>April</v>
      </c>
      <c r="D28" s="914">
        <v>2021</v>
      </c>
      <c r="E28" s="601">
        <f t="shared" ref="E28:P28" si="17">E60+E91</f>
        <v>63668374.472299799</v>
      </c>
      <c r="F28" s="601">
        <f t="shared" si="17"/>
        <v>13392176.23</v>
      </c>
      <c r="G28" s="601">
        <f t="shared" si="17"/>
        <v>3770714.8681724845</v>
      </c>
      <c r="H28" s="601">
        <f t="shared" si="17"/>
        <v>2536096.4188377825</v>
      </c>
      <c r="I28" s="601">
        <f t="shared" si="17"/>
        <v>29165108.816634499</v>
      </c>
      <c r="J28" s="601">
        <f t="shared" si="17"/>
        <v>874953.26449903497</v>
      </c>
      <c r="K28" s="601">
        <f t="shared" si="17"/>
        <v>1029616147.6000433</v>
      </c>
      <c r="L28" s="601">
        <f t="shared" si="17"/>
        <v>2044549.867301407</v>
      </c>
      <c r="M28" s="601">
        <f t="shared" si="17"/>
        <v>10334772.881387291</v>
      </c>
      <c r="N28" s="601">
        <f t="shared" si="17"/>
        <v>1019281374.7186561</v>
      </c>
      <c r="O28" s="601">
        <f t="shared" si="17"/>
        <v>696152.7</v>
      </c>
      <c r="P28" s="601">
        <f t="shared" si="17"/>
        <v>707708.83481999987</v>
      </c>
      <c r="T28" s="651"/>
      <c r="U28" s="651"/>
      <c r="V28" s="652"/>
      <c r="W28" s="651"/>
      <c r="X28" s="653"/>
      <c r="Y28" s="488"/>
      <c r="Z28" s="651"/>
      <c r="AA28" s="651"/>
      <c r="AB28" s="651"/>
      <c r="AC28" s="651"/>
      <c r="AD28" s="651"/>
      <c r="AE28" s="651"/>
      <c r="AF28" s="651"/>
      <c r="AG28" s="651"/>
      <c r="AH28" s="651"/>
      <c r="AI28" s="651"/>
      <c r="AJ28" s="651"/>
      <c r="AK28" s="651"/>
      <c r="AL28" s="651"/>
      <c r="AM28" s="651"/>
      <c r="AN28" s="651"/>
    </row>
    <row r="29" spans="1:40" ht="13">
      <c r="A29" s="647">
        <f t="shared" si="3"/>
        <v>17</v>
      </c>
      <c r="C29" s="640" t="str">
        <f t="shared" si="1"/>
        <v>May</v>
      </c>
      <c r="D29" s="914">
        <v>2021</v>
      </c>
      <c r="E29" s="601">
        <f t="shared" ref="E29:P29" si="18">E61+E92</f>
        <v>113934715.12229979</v>
      </c>
      <c r="F29" s="601">
        <f t="shared" si="18"/>
        <v>88853985.88000001</v>
      </c>
      <c r="G29" s="601">
        <f t="shared" si="18"/>
        <v>1881054.6931724844</v>
      </c>
      <c r="H29" s="601">
        <f t="shared" si="18"/>
        <v>808556.5408377829</v>
      </c>
      <c r="I29" s="601">
        <f t="shared" si="18"/>
        <v>9298400.2196345031</v>
      </c>
      <c r="J29" s="601">
        <f t="shared" si="18"/>
        <v>278952.0065890351</v>
      </c>
      <c r="K29" s="601">
        <f t="shared" si="18"/>
        <v>1144902312.8812668</v>
      </c>
      <c r="L29" s="601">
        <f t="shared" si="18"/>
        <v>2184081.8872492909</v>
      </c>
      <c r="M29" s="601">
        <f t="shared" si="18"/>
        <v>12518854.768636582</v>
      </c>
      <c r="N29" s="601">
        <f t="shared" si="18"/>
        <v>1132383458.1126301</v>
      </c>
      <c r="O29" s="601">
        <f t="shared" si="18"/>
        <v>696152.7</v>
      </c>
      <c r="P29" s="601">
        <f t="shared" si="18"/>
        <v>707708.83481999987</v>
      </c>
      <c r="T29" s="651"/>
      <c r="U29" s="651"/>
      <c r="V29" s="652"/>
      <c r="W29" s="651"/>
      <c r="X29" s="653"/>
      <c r="Y29" s="488"/>
      <c r="Z29" s="651"/>
      <c r="AA29" s="651"/>
      <c r="AB29" s="651"/>
      <c r="AC29" s="651"/>
      <c r="AD29" s="651"/>
      <c r="AE29" s="651"/>
      <c r="AF29" s="651"/>
      <c r="AG29" s="651"/>
      <c r="AH29" s="651"/>
      <c r="AI29" s="651"/>
      <c r="AJ29" s="651"/>
      <c r="AK29" s="651"/>
      <c r="AL29" s="651"/>
      <c r="AM29" s="651"/>
      <c r="AN29" s="651"/>
    </row>
    <row r="30" spans="1:40" ht="13">
      <c r="A30" s="647">
        <f t="shared" si="3"/>
        <v>18</v>
      </c>
      <c r="C30" s="640" t="str">
        <f t="shared" ref="C30:C36" si="19">C62</f>
        <v xml:space="preserve">June </v>
      </c>
      <c r="D30" s="914">
        <v>2021</v>
      </c>
      <c r="E30" s="601">
        <f t="shared" ref="E30:P30" si="20">E62+E93</f>
        <v>20563652.45734781</v>
      </c>
      <c r="F30" s="601">
        <f t="shared" si="20"/>
        <v>232803.55504800001</v>
      </c>
      <c r="G30" s="601">
        <f t="shared" si="20"/>
        <v>1524813.6676724858</v>
      </c>
      <c r="H30" s="601">
        <f t="shared" si="20"/>
        <v>986093.19159778371</v>
      </c>
      <c r="I30" s="601">
        <f t="shared" si="20"/>
        <v>11340071.703374512</v>
      </c>
      <c r="J30" s="601">
        <f t="shared" si="20"/>
        <v>340202.15110123536</v>
      </c>
      <c r="K30" s="601">
        <f t="shared" si="20"/>
        <v>1166344887.9657905</v>
      </c>
      <c r="L30" s="601">
        <f t="shared" si="20"/>
        <v>2428633.6321185436</v>
      </c>
      <c r="M30" s="601">
        <f t="shared" si="20"/>
        <v>14947488.400755126</v>
      </c>
      <c r="N30" s="601">
        <f t="shared" si="20"/>
        <v>1151397399.5650353</v>
      </c>
      <c r="O30" s="601">
        <f t="shared" si="20"/>
        <v>1496152.7000000002</v>
      </c>
      <c r="P30" s="601">
        <f t="shared" si="20"/>
        <v>1520988.8348200002</v>
      </c>
      <c r="T30" s="651"/>
      <c r="U30" s="651"/>
      <c r="V30" s="652"/>
      <c r="W30" s="651"/>
      <c r="X30" s="653"/>
      <c r="Y30" s="488"/>
      <c r="Z30" s="651"/>
      <c r="AA30" s="651"/>
      <c r="AB30" s="651"/>
      <c r="AC30" s="651"/>
      <c r="AD30" s="651"/>
      <c r="AE30" s="651"/>
      <c r="AF30" s="651"/>
      <c r="AG30" s="651"/>
      <c r="AH30" s="651"/>
      <c r="AI30" s="651"/>
      <c r="AJ30" s="651"/>
      <c r="AK30" s="651"/>
      <c r="AL30" s="651"/>
      <c r="AM30" s="651"/>
      <c r="AN30" s="651"/>
    </row>
    <row r="31" spans="1:40" ht="13">
      <c r="A31" s="647">
        <f t="shared" si="3"/>
        <v>19</v>
      </c>
      <c r="C31" s="640" t="str">
        <f t="shared" si="19"/>
        <v>July</v>
      </c>
      <c r="D31" s="914">
        <v>2021</v>
      </c>
      <c r="E31" s="601">
        <f t="shared" ref="E31:P31" si="21">E63+E94</f>
        <v>15748550.172299802</v>
      </c>
      <c r="F31" s="601">
        <f t="shared" si="21"/>
        <v>21989.929999999989</v>
      </c>
      <c r="G31" s="601">
        <f t="shared" si="21"/>
        <v>1179492.0181724853</v>
      </c>
      <c r="H31" s="601">
        <f t="shared" si="21"/>
        <v>855856.54083778313</v>
      </c>
      <c r="I31" s="601">
        <f t="shared" si="21"/>
        <v>9842350.219634505</v>
      </c>
      <c r="J31" s="601">
        <f t="shared" si="21"/>
        <v>295270.50658903515</v>
      </c>
      <c r="K31" s="601">
        <f t="shared" si="21"/>
        <v>1182712344.122014</v>
      </c>
      <c r="L31" s="601">
        <f t="shared" si="21"/>
        <v>2474118.8743296857</v>
      </c>
      <c r="M31" s="601">
        <f t="shared" si="21"/>
        <v>17421607.275084812</v>
      </c>
      <c r="N31" s="601">
        <f t="shared" si="21"/>
        <v>1165290736.8469293</v>
      </c>
      <c r="O31" s="601">
        <f t="shared" si="21"/>
        <v>1496152.7000000002</v>
      </c>
      <c r="P31" s="601">
        <f t="shared" si="21"/>
        <v>1520988.8348200002</v>
      </c>
      <c r="T31" s="651"/>
      <c r="U31" s="651"/>
      <c r="V31" s="652"/>
      <c r="W31" s="651"/>
      <c r="X31" s="653"/>
      <c r="Y31" s="488"/>
      <c r="Z31" s="651"/>
      <c r="AA31" s="651"/>
      <c r="AB31" s="651"/>
      <c r="AC31" s="651"/>
      <c r="AD31" s="651"/>
      <c r="AE31" s="651"/>
      <c r="AF31" s="651"/>
      <c r="AG31" s="651"/>
      <c r="AH31" s="651"/>
      <c r="AI31" s="651"/>
      <c r="AJ31" s="651"/>
      <c r="AK31" s="651"/>
      <c r="AL31" s="651"/>
      <c r="AM31" s="651"/>
      <c r="AN31" s="651"/>
    </row>
    <row r="32" spans="1:40" ht="13">
      <c r="A32" s="647">
        <f t="shared" si="3"/>
        <v>20</v>
      </c>
      <c r="C32" s="640" t="str">
        <f t="shared" si="19"/>
        <v>August</v>
      </c>
      <c r="D32" s="914">
        <v>2021</v>
      </c>
      <c r="E32" s="601">
        <f t="shared" ref="E32:P32" si="22">E64+E95</f>
        <v>196809332.20229974</v>
      </c>
      <c r="F32" s="601">
        <f t="shared" si="22"/>
        <v>35444844.960000001</v>
      </c>
      <c r="G32" s="601">
        <f t="shared" si="22"/>
        <v>12102336.543172481</v>
      </c>
      <c r="H32" s="601">
        <f t="shared" si="22"/>
        <v>949166.54083778174</v>
      </c>
      <c r="I32" s="601">
        <f t="shared" si="22"/>
        <v>10915415.21963449</v>
      </c>
      <c r="J32" s="601">
        <f t="shared" si="22"/>
        <v>327462.4565890347</v>
      </c>
      <c r="K32" s="601">
        <f t="shared" si="22"/>
        <v>1391002308.7832375</v>
      </c>
      <c r="L32" s="601">
        <f t="shared" si="22"/>
        <v>2508838.4779552505</v>
      </c>
      <c r="M32" s="601">
        <f t="shared" si="22"/>
        <v>19930445.753040064</v>
      </c>
      <c r="N32" s="601">
        <f t="shared" si="22"/>
        <v>1371071863.0301976</v>
      </c>
      <c r="O32" s="601">
        <f t="shared" si="22"/>
        <v>1827152.7000000002</v>
      </c>
      <c r="P32" s="601">
        <f t="shared" si="22"/>
        <v>1857483.4348200001</v>
      </c>
      <c r="T32" s="651"/>
      <c r="U32" s="651"/>
      <c r="V32" s="652"/>
      <c r="W32" s="651"/>
      <c r="X32" s="653"/>
      <c r="Y32" s="488"/>
      <c r="Z32" s="651"/>
      <c r="AA32" s="651"/>
      <c r="AB32" s="651"/>
      <c r="AC32" s="651"/>
      <c r="AD32" s="651"/>
      <c r="AE32" s="651"/>
      <c r="AF32" s="651"/>
      <c r="AG32" s="651"/>
      <c r="AH32" s="651"/>
      <c r="AI32" s="651"/>
      <c r="AJ32" s="651"/>
      <c r="AK32" s="651"/>
      <c r="AL32" s="651"/>
      <c r="AM32" s="651"/>
      <c r="AN32" s="651"/>
    </row>
    <row r="33" spans="1:40" ht="13">
      <c r="A33" s="647">
        <f t="shared" si="3"/>
        <v>21</v>
      </c>
      <c r="C33" s="640" t="str">
        <f t="shared" si="19"/>
        <v>September</v>
      </c>
      <c r="D33" s="914">
        <v>2021</v>
      </c>
      <c r="E33" s="601">
        <f t="shared" ref="E33:P33" si="23">E65+E96</f>
        <v>37724615.512299843</v>
      </c>
      <c r="F33" s="601">
        <f t="shared" si="23"/>
        <v>343708.27</v>
      </c>
      <c r="G33" s="601">
        <f t="shared" si="23"/>
        <v>2803568.043172488</v>
      </c>
      <c r="H33" s="601">
        <f t="shared" si="23"/>
        <v>1586340.5408377866</v>
      </c>
      <c r="I33" s="601">
        <f t="shared" si="23"/>
        <v>18242916.219634544</v>
      </c>
      <c r="J33" s="601">
        <f t="shared" si="23"/>
        <v>547287.4865890363</v>
      </c>
      <c r="K33" s="601">
        <f t="shared" si="23"/>
        <v>1430491439.284461</v>
      </c>
      <c r="L33" s="601">
        <f t="shared" si="23"/>
        <v>2950675.3121703733</v>
      </c>
      <c r="M33" s="601">
        <f t="shared" si="23"/>
        <v>22881121.065210439</v>
      </c>
      <c r="N33" s="601">
        <f t="shared" si="23"/>
        <v>1407610318.2192507</v>
      </c>
      <c r="O33" s="617">
        <f t="shared" si="23"/>
        <v>1827152.7000000002</v>
      </c>
      <c r="P33" s="617">
        <f t="shared" si="23"/>
        <v>1857483.4348200001</v>
      </c>
      <c r="T33" s="651"/>
      <c r="U33" s="651"/>
      <c r="V33" s="652"/>
      <c r="W33" s="651"/>
      <c r="X33" s="653"/>
      <c r="Y33" s="488"/>
      <c r="Z33" s="651"/>
      <c r="AA33" s="651"/>
      <c r="AB33" s="651"/>
      <c r="AC33" s="651"/>
      <c r="AD33" s="651"/>
      <c r="AE33" s="651"/>
      <c r="AF33" s="651"/>
      <c r="AG33" s="651"/>
      <c r="AH33" s="651"/>
      <c r="AI33" s="651"/>
      <c r="AJ33" s="651"/>
      <c r="AK33" s="651"/>
      <c r="AL33" s="651"/>
      <c r="AM33" s="651"/>
      <c r="AN33" s="651"/>
    </row>
    <row r="34" spans="1:40" ht="13">
      <c r="A34" s="648">
        <f t="shared" si="3"/>
        <v>22</v>
      </c>
      <c r="C34" s="640" t="str">
        <f t="shared" si="19"/>
        <v>October</v>
      </c>
      <c r="D34" s="914">
        <v>2021</v>
      </c>
      <c r="E34" s="601">
        <f t="shared" ref="E34:P34" si="24">E66+E97</f>
        <v>25347291.852299795</v>
      </c>
      <c r="F34" s="601">
        <f t="shared" si="24"/>
        <v>4965082.6100000003</v>
      </c>
      <c r="G34" s="601">
        <f t="shared" si="24"/>
        <v>1528665.6931724846</v>
      </c>
      <c r="H34" s="601">
        <f t="shared" si="24"/>
        <v>808470.54083778232</v>
      </c>
      <c r="I34" s="601">
        <f t="shared" si="24"/>
        <v>9297411.2196344975</v>
      </c>
      <c r="J34" s="601">
        <f t="shared" si="24"/>
        <v>278922.33658903494</v>
      </c>
      <c r="K34" s="601">
        <f t="shared" si="24"/>
        <v>1456837848.6256845</v>
      </c>
      <c r="L34" s="601">
        <f t="shared" si="24"/>
        <v>3034441.9613939524</v>
      </c>
      <c r="M34" s="601">
        <f t="shared" si="24"/>
        <v>25915563.026604392</v>
      </c>
      <c r="N34" s="601">
        <f t="shared" si="24"/>
        <v>1430922285.5990801</v>
      </c>
      <c r="O34" s="617">
        <f t="shared" si="24"/>
        <v>1827152.7000000002</v>
      </c>
      <c r="P34" s="617">
        <f t="shared" si="24"/>
        <v>1857483.4348200001</v>
      </c>
      <c r="T34" s="651"/>
      <c r="U34" s="651"/>
      <c r="V34" s="652"/>
      <c r="W34" s="651"/>
      <c r="X34" s="653"/>
      <c r="Y34" s="488"/>
      <c r="Z34" s="651"/>
      <c r="AA34" s="651"/>
      <c r="AB34" s="651"/>
      <c r="AC34" s="651"/>
      <c r="AD34" s="651"/>
      <c r="AE34" s="651"/>
      <c r="AF34" s="651"/>
      <c r="AG34" s="651"/>
      <c r="AH34" s="651"/>
      <c r="AI34" s="651"/>
      <c r="AJ34" s="651"/>
      <c r="AK34" s="651"/>
      <c r="AL34" s="651"/>
      <c r="AM34" s="651"/>
      <c r="AN34" s="651"/>
    </row>
    <row r="35" spans="1:40" ht="13">
      <c r="A35" s="648">
        <f t="shared" si="3"/>
        <v>23</v>
      </c>
      <c r="C35" s="640" t="str">
        <f t="shared" si="19"/>
        <v>November</v>
      </c>
      <c r="D35" s="914">
        <v>2021</v>
      </c>
      <c r="E35" s="601">
        <f t="shared" ref="E35:P35" si="25">E67+E98</f>
        <v>19490979.242299795</v>
      </c>
      <c r="F35" s="601">
        <f t="shared" si="25"/>
        <v>0</v>
      </c>
      <c r="G35" s="601">
        <f t="shared" si="25"/>
        <v>1461823.4431724844</v>
      </c>
      <c r="H35" s="601">
        <f t="shared" si="25"/>
        <v>808470.54083778232</v>
      </c>
      <c r="I35" s="601">
        <f t="shared" si="25"/>
        <v>9297411.2196344975</v>
      </c>
      <c r="J35" s="601">
        <f t="shared" si="25"/>
        <v>278922.33658903494</v>
      </c>
      <c r="K35" s="601">
        <f t="shared" si="25"/>
        <v>1477261103.1069081</v>
      </c>
      <c r="L35" s="601">
        <f t="shared" si="25"/>
        <v>3090329.503144681</v>
      </c>
      <c r="M35" s="601">
        <f t="shared" si="25"/>
        <v>29005892.529749069</v>
      </c>
      <c r="N35" s="601">
        <f t="shared" si="25"/>
        <v>1448255210.5771589</v>
      </c>
      <c r="O35" s="617">
        <f t="shared" si="25"/>
        <v>1827152.7000000002</v>
      </c>
      <c r="P35" s="617">
        <f t="shared" si="25"/>
        <v>1857483.4348200001</v>
      </c>
      <c r="T35" s="651"/>
      <c r="U35" s="651"/>
      <c r="V35" s="652"/>
      <c r="W35" s="651"/>
      <c r="X35" s="653"/>
      <c r="Y35" s="488"/>
      <c r="Z35" s="651"/>
      <c r="AA35" s="651"/>
      <c r="AB35" s="651"/>
      <c r="AC35" s="651"/>
      <c r="AD35" s="651"/>
      <c r="AE35" s="651"/>
      <c r="AF35" s="651"/>
      <c r="AG35" s="651"/>
      <c r="AH35" s="651"/>
      <c r="AI35" s="651"/>
      <c r="AJ35" s="651"/>
      <c r="AK35" s="651"/>
      <c r="AL35" s="651"/>
      <c r="AM35" s="651"/>
      <c r="AN35" s="651"/>
    </row>
    <row r="36" spans="1:40" ht="13">
      <c r="A36" s="648">
        <f t="shared" si="3"/>
        <v>24</v>
      </c>
      <c r="C36" s="640" t="str">
        <f t="shared" si="19"/>
        <v>December</v>
      </c>
      <c r="D36" s="914">
        <v>2021</v>
      </c>
      <c r="E36" s="601">
        <f t="shared" ref="E36:P36" si="26">E68+E99</f>
        <v>115046204.78229979</v>
      </c>
      <c r="F36" s="601">
        <f t="shared" si="26"/>
        <v>41609796.25999999</v>
      </c>
      <c r="G36" s="601">
        <f t="shared" si="26"/>
        <v>5507730.6391724851</v>
      </c>
      <c r="H36" s="601">
        <f t="shared" si="26"/>
        <v>3085752.5429177829</v>
      </c>
      <c r="I36" s="601">
        <f t="shared" si="26"/>
        <v>35486154.243554503</v>
      </c>
      <c r="J36" s="601">
        <f t="shared" si="26"/>
        <v>1064584.627306635</v>
      </c>
      <c r="K36" s="601">
        <f t="shared" si="26"/>
        <v>1595793870.6127691</v>
      </c>
      <c r="L36" s="601">
        <f t="shared" si="26"/>
        <v>3133652.502978256</v>
      </c>
      <c r="M36" s="601">
        <f t="shared" si="26"/>
        <v>32139545.032727323</v>
      </c>
      <c r="N36" s="601">
        <f t="shared" si="26"/>
        <v>1563654325.5800416</v>
      </c>
      <c r="O36" s="617">
        <f t="shared" si="26"/>
        <v>1827152.7000000002</v>
      </c>
      <c r="P36" s="654">
        <f t="shared" si="26"/>
        <v>1857483.4348200001</v>
      </c>
      <c r="T36" s="651"/>
      <c r="U36" s="651"/>
      <c r="V36" s="652"/>
      <c r="W36" s="651"/>
      <c r="X36" s="653"/>
      <c r="Y36" s="488"/>
      <c r="Z36" s="651"/>
      <c r="AA36" s="651"/>
      <c r="AB36" s="651"/>
      <c r="AC36" s="651"/>
      <c r="AD36" s="651"/>
      <c r="AE36" s="651"/>
      <c r="AF36" s="651"/>
      <c r="AG36" s="651"/>
      <c r="AH36" s="651"/>
      <c r="AI36" s="651"/>
      <c r="AJ36" s="651"/>
      <c r="AK36" s="651"/>
      <c r="AL36" s="651"/>
      <c r="AM36" s="651"/>
      <c r="AN36" s="651"/>
    </row>
    <row r="37" spans="1:40" s="603" customFormat="1" ht="13">
      <c r="A37" s="648">
        <f t="shared" si="3"/>
        <v>25</v>
      </c>
      <c r="D37" s="679" t="s">
        <v>1614</v>
      </c>
      <c r="K37" s="950">
        <f>AVERAGE(K24:K36)</f>
        <v>1201282231.8645568</v>
      </c>
      <c r="M37" s="680"/>
      <c r="N37" s="680">
        <f>AVERAGE(N24:N36)</f>
        <v>1185405572.5791755</v>
      </c>
      <c r="O37" s="680"/>
      <c r="P37" s="680">
        <f>AVERAGE(P24:P36)</f>
        <v>1275049.83482</v>
      </c>
      <c r="Q37" s="681"/>
      <c r="T37" s="665"/>
      <c r="U37" s="665"/>
    </row>
    <row r="38" spans="1:40" ht="13">
      <c r="A38" s="647"/>
      <c r="T38" s="601"/>
      <c r="U38" s="601"/>
      <c r="Z38" s="601"/>
    </row>
    <row r="39" spans="1:40" ht="13">
      <c r="A39" s="647"/>
      <c r="B39" s="603" t="s">
        <v>1956</v>
      </c>
      <c r="G39" s="647"/>
      <c r="K39" s="488"/>
      <c r="M39" s="488"/>
      <c r="N39" s="488"/>
      <c r="O39" s="488"/>
      <c r="P39" s="488"/>
    </row>
    <row r="40" spans="1:40" ht="13">
      <c r="A40" s="647"/>
      <c r="B40" s="603"/>
      <c r="E40" s="643" t="s">
        <v>359</v>
      </c>
      <c r="F40" s="643" t="s">
        <v>343</v>
      </c>
      <c r="G40" s="643" t="s">
        <v>344</v>
      </c>
      <c r="H40" s="643" t="s">
        <v>345</v>
      </c>
      <c r="I40" s="643" t="s">
        <v>346</v>
      </c>
      <c r="J40" s="643" t="s">
        <v>347</v>
      </c>
      <c r="K40" s="682" t="s">
        <v>348</v>
      </c>
      <c r="L40" s="643" t="s">
        <v>537</v>
      </c>
      <c r="M40" s="682" t="s">
        <v>954</v>
      </c>
      <c r="N40" s="682" t="s">
        <v>967</v>
      </c>
      <c r="O40" s="682" t="s">
        <v>970</v>
      </c>
      <c r="P40" s="682" t="s">
        <v>988</v>
      </c>
    </row>
    <row r="41" spans="1:40" ht="25.5">
      <c r="A41" s="647"/>
      <c r="B41" s="603"/>
      <c r="E41" s="683" t="s">
        <v>2071</v>
      </c>
      <c r="F41" s="683" t="s">
        <v>2072</v>
      </c>
      <c r="G41" s="683" t="s">
        <v>2073</v>
      </c>
      <c r="H41" s="684" t="s">
        <v>1957</v>
      </c>
      <c r="I41" s="684" t="s">
        <v>1957</v>
      </c>
      <c r="J41" s="646" t="s">
        <v>1957</v>
      </c>
      <c r="K41" s="685" t="s">
        <v>1958</v>
      </c>
      <c r="L41" s="686" t="s">
        <v>2074</v>
      </c>
      <c r="M41" s="687" t="s">
        <v>2444</v>
      </c>
      <c r="N41" s="661" t="s">
        <v>1906</v>
      </c>
      <c r="O41" s="661"/>
      <c r="P41" s="687" t="s">
        <v>2075</v>
      </c>
    </row>
    <row r="42" spans="1:40" ht="13">
      <c r="A42" s="647"/>
      <c r="C42" s="647" t="str">
        <f>C10</f>
        <v>Forecast</v>
      </c>
      <c r="E42" s="647" t="str">
        <f>E10</f>
        <v>Unloaded</v>
      </c>
      <c r="F42" s="647"/>
      <c r="G42" s="647"/>
      <c r="I42" s="648" t="str">
        <f>I10</f>
        <v>AFUDC</v>
      </c>
      <c r="J42" s="648"/>
      <c r="K42" s="648"/>
      <c r="L42" s="648"/>
      <c r="M42" s="648"/>
      <c r="N42" s="648"/>
      <c r="O42" s="647" t="str">
        <f t="shared" ref="O42:P44" si="27">O10</f>
        <v>Unloaded</v>
      </c>
      <c r="P42" s="647" t="str">
        <f t="shared" si="27"/>
        <v>Loaded</v>
      </c>
    </row>
    <row r="43" spans="1:40" ht="13">
      <c r="A43" s="647"/>
      <c r="B43" s="603"/>
      <c r="C43" s="647" t="str">
        <f>C11</f>
        <v>Period</v>
      </c>
      <c r="E43" s="647" t="str">
        <f>E11</f>
        <v>Total</v>
      </c>
      <c r="F43" s="647" t="str">
        <f t="shared" ref="F43:H44" si="28">F11</f>
        <v>Prior Period</v>
      </c>
      <c r="G43" s="648" t="str">
        <f t="shared" si="28"/>
        <v>Over Heads</v>
      </c>
      <c r="H43" s="648" t="str">
        <f t="shared" si="28"/>
        <v xml:space="preserve">Cost of </v>
      </c>
      <c r="I43" s="648" t="str">
        <f>I11</f>
        <v>Eligible Plant</v>
      </c>
      <c r="J43" s="648"/>
      <c r="K43" s="648" t="str">
        <f>K11</f>
        <v>Incremental</v>
      </c>
      <c r="L43" s="648" t="str">
        <f>L11</f>
        <v>Depreciation</v>
      </c>
      <c r="M43" s="648"/>
      <c r="N43" s="648"/>
      <c r="O43" s="648" t="str">
        <f t="shared" si="27"/>
        <v>Low Voltage</v>
      </c>
      <c r="P43" s="648" t="str">
        <f t="shared" si="27"/>
        <v>Low Voltage</v>
      </c>
    </row>
    <row r="44" spans="1:40" ht="13">
      <c r="A44" s="649" t="s">
        <v>330</v>
      </c>
      <c r="C44" s="630" t="str">
        <f>C12</f>
        <v>Month</v>
      </c>
      <c r="D44" s="630" t="str">
        <f>D12</f>
        <v>Year</v>
      </c>
      <c r="E44" s="643" t="str">
        <f>E12</f>
        <v>Plant Adds</v>
      </c>
      <c r="F44" s="643" t="str">
        <f t="shared" si="28"/>
        <v>CWIP Closed</v>
      </c>
      <c r="G44" s="650" t="str">
        <f t="shared" si="28"/>
        <v>Closed to PIS</v>
      </c>
      <c r="H44" s="650" t="str">
        <f t="shared" si="28"/>
        <v>Removal</v>
      </c>
      <c r="I44" s="650" t="str">
        <f>I12</f>
        <v>Additions</v>
      </c>
      <c r="J44" s="650" t="str">
        <f>J12</f>
        <v>AFUDC</v>
      </c>
      <c r="K44" s="650" t="str">
        <f>K12</f>
        <v>Gross Plant</v>
      </c>
      <c r="L44" s="650" t="str">
        <f>L12</f>
        <v>Accrual</v>
      </c>
      <c r="M44" s="650" t="str">
        <f>M12</f>
        <v>Reserve</v>
      </c>
      <c r="N44" s="650" t="str">
        <f>N12</f>
        <v>Net Plant</v>
      </c>
      <c r="O44" s="650" t="str">
        <f t="shared" si="27"/>
        <v>Additions</v>
      </c>
      <c r="P44" s="650" t="str">
        <f t="shared" si="27"/>
        <v>Additions</v>
      </c>
      <c r="T44" s="650"/>
      <c r="U44" s="650"/>
      <c r="V44" s="650"/>
      <c r="W44" s="650"/>
      <c r="X44" s="650"/>
      <c r="Y44" s="650"/>
    </row>
    <row r="45" spans="1:40" ht="13">
      <c r="A45" s="647">
        <f>A37+1</f>
        <v>26</v>
      </c>
      <c r="C45" s="631" t="s">
        <v>181</v>
      </c>
      <c r="D45" s="914">
        <v>2020</v>
      </c>
      <c r="E45" s="658">
        <f>'10-CWIP'!G55</f>
        <v>1653969.8068000001</v>
      </c>
      <c r="F45" s="658">
        <f>'10-CWIP'!H55</f>
        <v>0</v>
      </c>
      <c r="G45" s="658">
        <f>'10-CWIP'!I55</f>
        <v>124047.73551000001</v>
      </c>
      <c r="H45" s="688">
        <v>0</v>
      </c>
      <c r="I45" s="651">
        <v>0</v>
      </c>
      <c r="J45" s="689">
        <v>0</v>
      </c>
      <c r="K45" s="601">
        <f>0+E45+G45</f>
        <v>1778017.5423100002</v>
      </c>
      <c r="L45" s="601">
        <v>0</v>
      </c>
      <c r="M45" s="601">
        <f>L45- H45</f>
        <v>0</v>
      </c>
      <c r="N45" s="601">
        <f t="shared" ref="N45:N68" si="29">K45-M45</f>
        <v>1778017.5423100002</v>
      </c>
      <c r="O45" s="690">
        <v>0</v>
      </c>
      <c r="P45" s="689">
        <f t="shared" ref="P45:P68" si="30">O45*(1-$E$107)*(1+$E$103+$E$111)</f>
        <v>0</v>
      </c>
      <c r="S45" s="601"/>
      <c r="T45" s="657"/>
      <c r="U45" s="653"/>
      <c r="V45" s="488"/>
      <c r="W45" s="657"/>
      <c r="X45" s="653"/>
      <c r="Y45" s="488"/>
    </row>
    <row r="46" spans="1:40" ht="13">
      <c r="A46" s="647">
        <f t="shared" ref="A46:A99" si="31">A45+1</f>
        <v>27</v>
      </c>
      <c r="C46" s="634" t="s">
        <v>182</v>
      </c>
      <c r="D46" s="914">
        <v>2020</v>
      </c>
      <c r="E46" s="658">
        <f>'10-CWIP'!G56</f>
        <v>1502677.0510000004</v>
      </c>
      <c r="F46" s="658">
        <f>'10-CWIP'!H56</f>
        <v>0</v>
      </c>
      <c r="G46" s="658">
        <f>'10-CWIP'!I56</f>
        <v>112700.77882500002</v>
      </c>
      <c r="H46" s="688">
        <v>0</v>
      </c>
      <c r="I46" s="651">
        <v>0</v>
      </c>
      <c r="J46" s="689">
        <v>0</v>
      </c>
      <c r="K46" s="601">
        <f>K45+E46+G46</f>
        <v>3393395.3721350003</v>
      </c>
      <c r="L46" s="601">
        <f t="shared" ref="L46:L68" si="32">K45*$E$133/12</f>
        <v>3771.6346217204646</v>
      </c>
      <c r="M46" s="601">
        <f>(M45+L46)-H46</f>
        <v>3771.6346217204646</v>
      </c>
      <c r="N46" s="601">
        <f t="shared" si="29"/>
        <v>3389623.73751328</v>
      </c>
      <c r="O46" s="690">
        <v>0</v>
      </c>
      <c r="P46" s="689">
        <f t="shared" si="30"/>
        <v>0</v>
      </c>
      <c r="S46" s="601"/>
      <c r="T46" s="657"/>
      <c r="U46" s="653"/>
      <c r="V46" s="488"/>
      <c r="W46" s="657"/>
      <c r="X46" s="653"/>
      <c r="Y46" s="488"/>
    </row>
    <row r="47" spans="1:40" ht="13">
      <c r="A47" s="647">
        <f t="shared" si="31"/>
        <v>28</v>
      </c>
      <c r="C47" s="634" t="s">
        <v>195</v>
      </c>
      <c r="D47" s="914">
        <v>2020</v>
      </c>
      <c r="E47" s="658">
        <f>'10-CWIP'!G57</f>
        <v>984871.10199999996</v>
      </c>
      <c r="F47" s="658">
        <f>'10-CWIP'!H57</f>
        <v>0</v>
      </c>
      <c r="G47" s="658">
        <f>'10-CWIP'!I57</f>
        <v>73865.332649999997</v>
      </c>
      <c r="H47" s="688">
        <v>0</v>
      </c>
      <c r="I47" s="651">
        <v>0</v>
      </c>
      <c r="J47" s="689">
        <v>0</v>
      </c>
      <c r="K47" s="601">
        <f t="shared" ref="K47:K65" si="33">K46+E47+G47</f>
        <v>4452131.8067850005</v>
      </c>
      <c r="L47" s="601">
        <f t="shared" si="32"/>
        <v>7198.2683894683987</v>
      </c>
      <c r="M47" s="601">
        <f t="shared" ref="M47:M68" si="34">(M46+L47)-H47</f>
        <v>10969.903011188864</v>
      </c>
      <c r="N47" s="601">
        <f t="shared" si="29"/>
        <v>4441161.9037738116</v>
      </c>
      <c r="O47" s="690">
        <v>0</v>
      </c>
      <c r="P47" s="689">
        <f t="shared" si="30"/>
        <v>0</v>
      </c>
      <c r="S47" s="601"/>
      <c r="T47" s="657"/>
      <c r="U47" s="653"/>
      <c r="V47" s="488"/>
      <c r="W47" s="657"/>
      <c r="X47" s="653"/>
      <c r="Y47" s="488"/>
    </row>
    <row r="48" spans="1:40" ht="13">
      <c r="A48" s="647">
        <f t="shared" si="31"/>
        <v>29</v>
      </c>
      <c r="C48" s="631" t="s">
        <v>183</v>
      </c>
      <c r="D48" s="914">
        <v>2020</v>
      </c>
      <c r="E48" s="658">
        <f>'10-CWIP'!G58</f>
        <v>217331.31</v>
      </c>
      <c r="F48" s="658">
        <f>'10-CWIP'!H58</f>
        <v>0</v>
      </c>
      <c r="G48" s="658">
        <f>'10-CWIP'!I58</f>
        <v>16299.848249999999</v>
      </c>
      <c r="H48" s="688">
        <v>0</v>
      </c>
      <c r="I48" s="651">
        <v>0</v>
      </c>
      <c r="J48" s="689">
        <v>0</v>
      </c>
      <c r="K48" s="601">
        <f t="shared" si="33"/>
        <v>4685762.9650349999</v>
      </c>
      <c r="L48" s="601">
        <f t="shared" si="32"/>
        <v>9444.1219298192464</v>
      </c>
      <c r="M48" s="601">
        <f t="shared" si="34"/>
        <v>20414.024941008109</v>
      </c>
      <c r="N48" s="601">
        <f t="shared" si="29"/>
        <v>4665348.9400939913</v>
      </c>
      <c r="O48" s="690">
        <v>0</v>
      </c>
      <c r="P48" s="689">
        <f t="shared" si="30"/>
        <v>0</v>
      </c>
      <c r="S48" s="601"/>
      <c r="T48" s="657"/>
      <c r="U48" s="653"/>
      <c r="V48" s="488"/>
      <c r="W48" s="657"/>
      <c r="X48" s="653"/>
      <c r="Y48" s="488"/>
    </row>
    <row r="49" spans="1:25" ht="13">
      <c r="A49" s="647">
        <f t="shared" si="31"/>
        <v>30</v>
      </c>
      <c r="C49" s="634" t="s">
        <v>184</v>
      </c>
      <c r="D49" s="914">
        <v>2020</v>
      </c>
      <c r="E49" s="658">
        <f>'10-CWIP'!G59</f>
        <v>486868.45000000007</v>
      </c>
      <c r="F49" s="658">
        <f>'10-CWIP'!H59</f>
        <v>344737.14</v>
      </c>
      <c r="G49" s="658">
        <f>'10-CWIP'!I59</f>
        <v>10659.848250000003</v>
      </c>
      <c r="H49" s="688">
        <v>0</v>
      </c>
      <c r="I49" s="651">
        <v>0</v>
      </c>
      <c r="J49" s="689">
        <v>0</v>
      </c>
      <c r="K49" s="601">
        <f t="shared" si="33"/>
        <v>5183291.2632849999</v>
      </c>
      <c r="L49" s="601">
        <f t="shared" si="32"/>
        <v>9939.7139834406826</v>
      </c>
      <c r="M49" s="601">
        <f t="shared" si="34"/>
        <v>30353.738924448793</v>
      </c>
      <c r="N49" s="601">
        <f t="shared" si="29"/>
        <v>5152937.5243605515</v>
      </c>
      <c r="O49" s="690">
        <v>0</v>
      </c>
      <c r="P49" s="689">
        <f t="shared" si="30"/>
        <v>0</v>
      </c>
      <c r="S49" s="601"/>
      <c r="T49" s="657"/>
      <c r="U49" s="653"/>
      <c r="V49" s="488"/>
      <c r="W49" s="657"/>
      <c r="X49" s="653"/>
      <c r="Y49" s="488"/>
    </row>
    <row r="50" spans="1:25" ht="13">
      <c r="A50" s="647">
        <f t="shared" si="31"/>
        <v>31</v>
      </c>
      <c r="C50" s="634" t="s">
        <v>185</v>
      </c>
      <c r="D50" s="914">
        <v>2020</v>
      </c>
      <c r="E50" s="658">
        <f>'10-CWIP'!G60</f>
        <v>733106.59579999989</v>
      </c>
      <c r="F50" s="658">
        <f>'10-CWIP'!H60</f>
        <v>410800.01</v>
      </c>
      <c r="G50" s="658">
        <f>'10-CWIP'!I60</f>
        <v>24172.993934999991</v>
      </c>
      <c r="H50" s="688">
        <v>0</v>
      </c>
      <c r="I50" s="651">
        <v>0</v>
      </c>
      <c r="J50" s="689">
        <v>0</v>
      </c>
      <c r="K50" s="601">
        <f t="shared" si="33"/>
        <v>5940570.8530200003</v>
      </c>
      <c r="L50" s="601">
        <f t="shared" si="32"/>
        <v>10995.100058275144</v>
      </c>
      <c r="M50" s="601">
        <f t="shared" si="34"/>
        <v>41348.838982723937</v>
      </c>
      <c r="N50" s="601">
        <f t="shared" si="29"/>
        <v>5899222.0140372766</v>
      </c>
      <c r="O50" s="690">
        <v>0</v>
      </c>
      <c r="P50" s="689">
        <f t="shared" si="30"/>
        <v>0</v>
      </c>
      <c r="S50" s="601"/>
      <c r="T50" s="657"/>
      <c r="U50" s="653"/>
      <c r="V50" s="488"/>
      <c r="W50" s="657"/>
      <c r="X50" s="653"/>
      <c r="Y50" s="488"/>
    </row>
    <row r="51" spans="1:25" ht="13">
      <c r="A51" s="647">
        <f t="shared" si="31"/>
        <v>32</v>
      </c>
      <c r="C51" s="631" t="s">
        <v>186</v>
      </c>
      <c r="D51" s="914">
        <v>2020</v>
      </c>
      <c r="E51" s="658">
        <f>'10-CWIP'!G61</f>
        <v>21632.14</v>
      </c>
      <c r="F51" s="658">
        <f>'10-CWIP'!H61</f>
        <v>0</v>
      </c>
      <c r="G51" s="658">
        <f>'10-CWIP'!I61</f>
        <v>1622.4105</v>
      </c>
      <c r="H51" s="688">
        <v>0</v>
      </c>
      <c r="I51" s="651">
        <v>0</v>
      </c>
      <c r="J51" s="689">
        <v>0</v>
      </c>
      <c r="K51" s="601">
        <f t="shared" si="33"/>
        <v>5963825.4035200002</v>
      </c>
      <c r="L51" s="601">
        <f t="shared" si="32"/>
        <v>12601.485738393938</v>
      </c>
      <c r="M51" s="601">
        <f t="shared" si="34"/>
        <v>53950.324721117875</v>
      </c>
      <c r="N51" s="601">
        <f t="shared" si="29"/>
        <v>5909875.0787988827</v>
      </c>
      <c r="O51" s="690">
        <v>0</v>
      </c>
      <c r="P51" s="689">
        <f t="shared" si="30"/>
        <v>0</v>
      </c>
      <c r="S51" s="601"/>
      <c r="T51" s="657"/>
      <c r="U51" s="653"/>
      <c r="V51" s="488"/>
      <c r="W51" s="657"/>
      <c r="X51" s="653"/>
      <c r="Y51" s="488"/>
    </row>
    <row r="52" spans="1:25" ht="13">
      <c r="A52" s="647">
        <f t="shared" si="31"/>
        <v>33</v>
      </c>
      <c r="C52" s="634" t="s">
        <v>187</v>
      </c>
      <c r="D52" s="914">
        <v>2020</v>
      </c>
      <c r="E52" s="658">
        <f>'10-CWIP'!G62</f>
        <v>21632.14</v>
      </c>
      <c r="F52" s="658">
        <f>'10-CWIP'!H62</f>
        <v>0</v>
      </c>
      <c r="G52" s="658">
        <f>'10-CWIP'!I62</f>
        <v>1622.4105</v>
      </c>
      <c r="H52" s="688">
        <v>0</v>
      </c>
      <c r="I52" s="651">
        <v>0</v>
      </c>
      <c r="J52" s="689">
        <v>0</v>
      </c>
      <c r="K52" s="601">
        <f t="shared" si="33"/>
        <v>5987079.9540200001</v>
      </c>
      <c r="L52" s="601">
        <f t="shared" si="32"/>
        <v>12650.814648650017</v>
      </c>
      <c r="M52" s="601">
        <f t="shared" si="34"/>
        <v>66601.139369767887</v>
      </c>
      <c r="N52" s="601">
        <f t="shared" si="29"/>
        <v>5920478.814650232</v>
      </c>
      <c r="O52" s="690">
        <v>0</v>
      </c>
      <c r="P52" s="689">
        <f t="shared" si="30"/>
        <v>0</v>
      </c>
      <c r="S52" s="601"/>
      <c r="T52" s="657"/>
      <c r="U52" s="653"/>
      <c r="V52" s="488"/>
      <c r="W52" s="657"/>
      <c r="X52" s="653"/>
      <c r="Y52" s="488"/>
    </row>
    <row r="53" spans="1:25" ht="13">
      <c r="A53" s="647">
        <f t="shared" si="31"/>
        <v>34</v>
      </c>
      <c r="C53" s="634" t="s">
        <v>188</v>
      </c>
      <c r="D53" s="914">
        <v>2020</v>
      </c>
      <c r="E53" s="658">
        <f>'10-CWIP'!G63</f>
        <v>21632.14</v>
      </c>
      <c r="F53" s="658">
        <f>'10-CWIP'!H63</f>
        <v>0</v>
      </c>
      <c r="G53" s="658">
        <f>'10-CWIP'!I63</f>
        <v>1622.4105</v>
      </c>
      <c r="H53" s="688">
        <v>0</v>
      </c>
      <c r="I53" s="651">
        <v>0</v>
      </c>
      <c r="J53" s="689">
        <v>0</v>
      </c>
      <c r="K53" s="601">
        <f t="shared" si="33"/>
        <v>6010334.50452</v>
      </c>
      <c r="L53" s="601">
        <f t="shared" si="32"/>
        <v>12700.143558906098</v>
      </c>
      <c r="M53" s="601">
        <f t="shared" si="34"/>
        <v>79301.282928673987</v>
      </c>
      <c r="N53" s="601">
        <f t="shared" si="29"/>
        <v>5931033.2215913264</v>
      </c>
      <c r="O53" s="690">
        <v>0</v>
      </c>
      <c r="P53" s="689">
        <f t="shared" si="30"/>
        <v>0</v>
      </c>
      <c r="S53" s="601"/>
      <c r="T53" s="657"/>
      <c r="U53" s="653"/>
      <c r="V53" s="488"/>
      <c r="W53" s="657"/>
      <c r="X53" s="653"/>
      <c r="Y53" s="488"/>
    </row>
    <row r="54" spans="1:25" ht="13">
      <c r="A54" s="647">
        <f t="shared" si="31"/>
        <v>35</v>
      </c>
      <c r="C54" s="631" t="s">
        <v>189</v>
      </c>
      <c r="D54" s="914">
        <v>2020</v>
      </c>
      <c r="E54" s="658">
        <f>'10-CWIP'!G64</f>
        <v>20965331.019999996</v>
      </c>
      <c r="F54" s="658">
        <f>'10-CWIP'!H64</f>
        <v>17136385.879999999</v>
      </c>
      <c r="G54" s="658">
        <f>'10-CWIP'!I64</f>
        <v>287170.88549999968</v>
      </c>
      <c r="H54" s="688">
        <v>0</v>
      </c>
      <c r="I54" s="651">
        <v>0</v>
      </c>
      <c r="J54" s="689">
        <v>0</v>
      </c>
      <c r="K54" s="601">
        <f t="shared" si="33"/>
        <v>27262836.410019994</v>
      </c>
      <c r="L54" s="601">
        <f t="shared" si="32"/>
        <v>12749.47246916218</v>
      </c>
      <c r="M54" s="601">
        <f t="shared" si="34"/>
        <v>92050.755397836168</v>
      </c>
      <c r="N54" s="601">
        <f t="shared" si="29"/>
        <v>27170785.654622156</v>
      </c>
      <c r="O54" s="690">
        <v>0</v>
      </c>
      <c r="P54" s="689">
        <f t="shared" si="30"/>
        <v>0</v>
      </c>
      <c r="S54" s="601"/>
      <c r="T54" s="657"/>
      <c r="U54" s="653"/>
      <c r="V54" s="488"/>
      <c r="W54" s="657"/>
      <c r="X54" s="653"/>
      <c r="Y54" s="488"/>
    </row>
    <row r="55" spans="1:25" ht="13">
      <c r="A55" s="647">
        <f t="shared" si="31"/>
        <v>36</v>
      </c>
      <c r="C55" s="631" t="s">
        <v>190</v>
      </c>
      <c r="D55" s="914">
        <v>2020</v>
      </c>
      <c r="E55" s="658">
        <f>'10-CWIP'!G65</f>
        <v>289632.14</v>
      </c>
      <c r="F55" s="658">
        <f>'10-CWIP'!H65</f>
        <v>0</v>
      </c>
      <c r="G55" s="658">
        <f>'10-CWIP'!I65</f>
        <v>21722.410499999998</v>
      </c>
      <c r="H55" s="688">
        <v>0</v>
      </c>
      <c r="I55" s="651">
        <v>0</v>
      </c>
      <c r="J55" s="689">
        <v>0</v>
      </c>
      <c r="K55" s="601">
        <f t="shared" si="33"/>
        <v>27574190.960519996</v>
      </c>
      <c r="L55" s="601">
        <f t="shared" si="32"/>
        <v>57831.520355385153</v>
      </c>
      <c r="M55" s="601">
        <f t="shared" si="34"/>
        <v>149882.27575322133</v>
      </c>
      <c r="N55" s="601">
        <f t="shared" si="29"/>
        <v>27424308.684766773</v>
      </c>
      <c r="O55" s="690">
        <v>0</v>
      </c>
      <c r="P55" s="689">
        <f t="shared" si="30"/>
        <v>0</v>
      </c>
      <c r="S55" s="601"/>
      <c r="T55" s="657"/>
      <c r="U55" s="653"/>
      <c r="V55" s="488"/>
      <c r="W55" s="657"/>
      <c r="X55" s="653"/>
      <c r="Y55" s="488"/>
    </row>
    <row r="56" spans="1:25" ht="13">
      <c r="A56" s="647">
        <f t="shared" si="31"/>
        <v>37</v>
      </c>
      <c r="C56" s="631" t="s">
        <v>180</v>
      </c>
      <c r="D56" s="914">
        <v>2020</v>
      </c>
      <c r="E56" s="658">
        <f>'10-CWIP'!G66</f>
        <v>554534219.29120004</v>
      </c>
      <c r="F56" s="658">
        <f>'10-CWIP'!H66</f>
        <v>394845413.81999999</v>
      </c>
      <c r="G56" s="658">
        <f>'10-CWIP'!I66</f>
        <v>11976660.41034</v>
      </c>
      <c r="H56" s="688">
        <v>0</v>
      </c>
      <c r="I56" s="651">
        <v>0</v>
      </c>
      <c r="J56" s="689">
        <v>0</v>
      </c>
      <c r="K56" s="601">
        <f t="shared" si="33"/>
        <v>594085070.66206002</v>
      </c>
      <c r="L56" s="601">
        <f t="shared" si="32"/>
        <v>58491.983806589553</v>
      </c>
      <c r="M56" s="601">
        <f t="shared" si="34"/>
        <v>208374.25955981089</v>
      </c>
      <c r="N56" s="601">
        <f t="shared" si="29"/>
        <v>593876696.40250015</v>
      </c>
      <c r="O56" s="690">
        <v>0</v>
      </c>
      <c r="P56" s="689">
        <f t="shared" si="30"/>
        <v>0</v>
      </c>
      <c r="S56" s="601"/>
      <c r="T56" s="657"/>
      <c r="U56" s="653"/>
      <c r="V56" s="488"/>
      <c r="W56" s="657"/>
      <c r="X56" s="653"/>
      <c r="Y56" s="488"/>
    </row>
    <row r="57" spans="1:25" ht="13">
      <c r="A57" s="647">
        <f t="shared" si="31"/>
        <v>38</v>
      </c>
      <c r="C57" s="631" t="s">
        <v>181</v>
      </c>
      <c r="D57" s="914">
        <v>2021</v>
      </c>
      <c r="E57" s="658">
        <f>'10-CWIP'!G67</f>
        <v>5529600</v>
      </c>
      <c r="F57" s="658">
        <f>'10-CWIP'!H67</f>
        <v>0</v>
      </c>
      <c r="G57" s="658">
        <f>'10-CWIP'!I67</f>
        <v>414720</v>
      </c>
      <c r="H57" s="688">
        <v>0</v>
      </c>
      <c r="I57" s="651">
        <v>0</v>
      </c>
      <c r="J57" s="689">
        <v>0</v>
      </c>
      <c r="K57" s="601">
        <f t="shared" si="33"/>
        <v>600029390.66206002</v>
      </c>
      <c r="L57" s="601">
        <f t="shared" si="32"/>
        <v>1260207.9380191006</v>
      </c>
      <c r="M57" s="601">
        <f t="shared" si="34"/>
        <v>1468582.1975789114</v>
      </c>
      <c r="N57" s="601">
        <f t="shared" si="29"/>
        <v>598560808.46448112</v>
      </c>
      <c r="O57" s="690">
        <v>0</v>
      </c>
      <c r="P57" s="689">
        <f t="shared" si="30"/>
        <v>0</v>
      </c>
      <c r="S57" s="601"/>
      <c r="T57" s="657"/>
      <c r="U57" s="653"/>
      <c r="V57" s="488"/>
      <c r="W57" s="657"/>
      <c r="X57" s="653"/>
      <c r="Y57" s="488"/>
    </row>
    <row r="58" spans="1:25" ht="13">
      <c r="A58" s="647">
        <f t="shared" si="31"/>
        <v>39</v>
      </c>
      <c r="C58" s="634" t="s">
        <v>182</v>
      </c>
      <c r="D58" s="914">
        <v>2021</v>
      </c>
      <c r="E58" s="658">
        <f>'10-CWIP'!G68</f>
        <v>5747600</v>
      </c>
      <c r="F58" s="658">
        <f>'10-CWIP'!H68</f>
        <v>0</v>
      </c>
      <c r="G58" s="658">
        <f>'10-CWIP'!I68</f>
        <v>431070</v>
      </c>
      <c r="H58" s="688">
        <v>0</v>
      </c>
      <c r="I58" s="651">
        <v>0</v>
      </c>
      <c r="J58" s="689">
        <v>0</v>
      </c>
      <c r="K58" s="601">
        <f t="shared" si="33"/>
        <v>606208060.66206002</v>
      </c>
      <c r="L58" s="601">
        <f t="shared" si="32"/>
        <v>1272817.3766669654</v>
      </c>
      <c r="M58" s="601">
        <f t="shared" si="34"/>
        <v>2741399.5742458766</v>
      </c>
      <c r="N58" s="601">
        <f t="shared" si="29"/>
        <v>603466661.08781409</v>
      </c>
      <c r="O58" s="690">
        <v>0</v>
      </c>
      <c r="P58" s="689">
        <f t="shared" si="30"/>
        <v>0</v>
      </c>
      <c r="S58" s="601"/>
      <c r="T58" s="657"/>
      <c r="U58" s="653"/>
      <c r="V58" s="488"/>
      <c r="W58" s="657"/>
      <c r="X58" s="653"/>
      <c r="Y58" s="488"/>
    </row>
    <row r="59" spans="1:25" ht="13">
      <c r="A59" s="647">
        <f t="shared" si="31"/>
        <v>40</v>
      </c>
      <c r="C59" s="634" t="s">
        <v>195</v>
      </c>
      <c r="D59" s="914">
        <v>2021</v>
      </c>
      <c r="E59" s="658">
        <f>'10-CWIP'!G69</f>
        <v>7860041</v>
      </c>
      <c r="F59" s="658">
        <f>'10-CWIP'!H69</f>
        <v>0</v>
      </c>
      <c r="G59" s="658">
        <f>'10-CWIP'!I69</f>
        <v>589503.07499999995</v>
      </c>
      <c r="H59" s="688">
        <v>0</v>
      </c>
      <c r="I59" s="651">
        <v>0</v>
      </c>
      <c r="J59" s="689">
        <v>0</v>
      </c>
      <c r="K59" s="601">
        <f t="shared" si="33"/>
        <v>614657604.73706007</v>
      </c>
      <c r="L59" s="601">
        <f t="shared" si="32"/>
        <v>1285923.9322175418</v>
      </c>
      <c r="M59" s="601">
        <f t="shared" si="34"/>
        <v>4027323.5064634187</v>
      </c>
      <c r="N59" s="601">
        <f t="shared" si="29"/>
        <v>610630281.23059666</v>
      </c>
      <c r="O59" s="690">
        <v>0</v>
      </c>
      <c r="P59" s="689">
        <f t="shared" si="30"/>
        <v>0</v>
      </c>
      <c r="S59" s="601"/>
      <c r="T59" s="657"/>
      <c r="U59" s="653"/>
      <c r="V59" s="488"/>
      <c r="W59" s="657"/>
      <c r="X59" s="653"/>
      <c r="Y59" s="488"/>
    </row>
    <row r="60" spans="1:25" ht="13">
      <c r="A60" s="647">
        <f t="shared" si="31"/>
        <v>41</v>
      </c>
      <c r="C60" s="631" t="s">
        <v>183</v>
      </c>
      <c r="D60" s="914">
        <v>2021</v>
      </c>
      <c r="E60" s="658">
        <f>'10-CWIP'!G70</f>
        <v>33916245.480000004</v>
      </c>
      <c r="F60" s="658">
        <f>'10-CWIP'!H70</f>
        <v>13129540.48</v>
      </c>
      <c r="G60" s="658">
        <f>'10-CWIP'!I70</f>
        <v>1559002.875</v>
      </c>
      <c r="H60" s="688">
        <v>0</v>
      </c>
      <c r="I60" s="651">
        <v>0</v>
      </c>
      <c r="J60" s="689">
        <v>0</v>
      </c>
      <c r="K60" s="601">
        <f t="shared" si="33"/>
        <v>650132853.09206009</v>
      </c>
      <c r="L60" s="601">
        <f t="shared" si="32"/>
        <v>1303847.5984428029</v>
      </c>
      <c r="M60" s="601">
        <f t="shared" si="34"/>
        <v>5331171.1049062219</v>
      </c>
      <c r="N60" s="601">
        <f t="shared" si="29"/>
        <v>644801681.98715389</v>
      </c>
      <c r="O60" s="690">
        <v>0</v>
      </c>
      <c r="P60" s="689">
        <f t="shared" si="30"/>
        <v>0</v>
      </c>
      <c r="S60" s="601"/>
      <c r="T60" s="657"/>
      <c r="U60" s="653"/>
      <c r="V60" s="488"/>
      <c r="W60" s="657"/>
      <c r="X60" s="653"/>
      <c r="Y60" s="488"/>
    </row>
    <row r="61" spans="1:25" ht="13">
      <c r="A61" s="647">
        <f t="shared" si="31"/>
        <v>42</v>
      </c>
      <c r="C61" s="634" t="s">
        <v>184</v>
      </c>
      <c r="D61" s="914">
        <v>2021</v>
      </c>
      <c r="E61" s="658">
        <f>'10-CWIP'!G71</f>
        <v>104418012.50999999</v>
      </c>
      <c r="F61" s="658">
        <f>'10-CWIP'!H71</f>
        <v>88739103.510000005</v>
      </c>
      <c r="G61" s="658">
        <f>'10-CWIP'!I71</f>
        <v>1175918.1749999993</v>
      </c>
      <c r="H61" s="688">
        <v>0</v>
      </c>
      <c r="I61" s="651">
        <v>0</v>
      </c>
      <c r="J61" s="689">
        <v>0</v>
      </c>
      <c r="K61" s="601">
        <f t="shared" si="33"/>
        <v>755726783.77706003</v>
      </c>
      <c r="L61" s="601">
        <f t="shared" si="32"/>
        <v>1379099.7665041019</v>
      </c>
      <c r="M61" s="601">
        <f t="shared" si="34"/>
        <v>6710270.8714103233</v>
      </c>
      <c r="N61" s="601">
        <f t="shared" si="29"/>
        <v>749016512.90564966</v>
      </c>
      <c r="O61" s="690">
        <v>0</v>
      </c>
      <c r="P61" s="689">
        <f t="shared" si="30"/>
        <v>0</v>
      </c>
      <c r="S61" s="601"/>
      <c r="T61" s="657"/>
      <c r="U61" s="653"/>
      <c r="V61" s="488"/>
      <c r="W61" s="657"/>
      <c r="X61" s="653"/>
      <c r="Y61" s="488"/>
    </row>
    <row r="62" spans="1:25" ht="13">
      <c r="A62" s="647">
        <f t="shared" si="31"/>
        <v>43</v>
      </c>
      <c r="C62" s="634" t="s">
        <v>185</v>
      </c>
      <c r="D62" s="914">
        <v>2021</v>
      </c>
      <c r="E62" s="658">
        <f>'10-CWIP'!G72</f>
        <v>8864649</v>
      </c>
      <c r="F62" s="658">
        <f>'10-CWIP'!H72</f>
        <v>0</v>
      </c>
      <c r="G62" s="658">
        <f>'10-CWIP'!I72</f>
        <v>664848.67500000005</v>
      </c>
      <c r="H62" s="688">
        <v>0</v>
      </c>
      <c r="I62" s="651">
        <v>0</v>
      </c>
      <c r="J62" s="689">
        <v>0</v>
      </c>
      <c r="K62" s="601">
        <f t="shared" si="33"/>
        <v>765256281.45205998</v>
      </c>
      <c r="L62" s="601">
        <f t="shared" si="32"/>
        <v>1603091.7774589967</v>
      </c>
      <c r="M62" s="601">
        <f t="shared" si="34"/>
        <v>8313362.6488693198</v>
      </c>
      <c r="N62" s="601">
        <f t="shared" si="29"/>
        <v>756942918.80319071</v>
      </c>
      <c r="O62" s="690">
        <v>0</v>
      </c>
      <c r="P62" s="689">
        <f t="shared" si="30"/>
        <v>0</v>
      </c>
      <c r="S62" s="601"/>
      <c r="T62" s="657"/>
      <c r="U62" s="653"/>
      <c r="V62" s="488"/>
      <c r="W62" s="657"/>
      <c r="X62" s="653"/>
      <c r="Y62" s="488"/>
    </row>
    <row r="63" spans="1:25" ht="13">
      <c r="A63" s="647">
        <f t="shared" si="31"/>
        <v>44</v>
      </c>
      <c r="C63" s="631" t="s">
        <v>186</v>
      </c>
      <c r="D63" s="914">
        <v>2021</v>
      </c>
      <c r="E63" s="658">
        <f>'10-CWIP'!G73</f>
        <v>5774740</v>
      </c>
      <c r="F63" s="658">
        <f>'10-CWIP'!H73</f>
        <v>0</v>
      </c>
      <c r="G63" s="658">
        <f>'10-CWIP'!I73</f>
        <v>433105.5</v>
      </c>
      <c r="H63" s="688">
        <v>0</v>
      </c>
      <c r="I63" s="651">
        <v>0</v>
      </c>
      <c r="J63" s="689">
        <v>0</v>
      </c>
      <c r="K63" s="601">
        <f t="shared" si="33"/>
        <v>771464126.95205998</v>
      </c>
      <c r="L63" s="601">
        <f t="shared" si="32"/>
        <v>1623306.3043145298</v>
      </c>
      <c r="M63" s="601">
        <f t="shared" si="34"/>
        <v>9936668.9531838503</v>
      </c>
      <c r="N63" s="601">
        <f t="shared" si="29"/>
        <v>761527457.99887609</v>
      </c>
      <c r="O63" s="690">
        <v>0</v>
      </c>
      <c r="P63" s="689">
        <f t="shared" si="30"/>
        <v>0</v>
      </c>
      <c r="S63" s="601"/>
      <c r="T63" s="657"/>
      <c r="U63" s="653"/>
      <c r="V63" s="488"/>
      <c r="W63" s="657"/>
      <c r="X63" s="653"/>
      <c r="Y63" s="488"/>
    </row>
    <row r="64" spans="1:25" ht="13">
      <c r="A64" s="647">
        <f t="shared" si="31"/>
        <v>45</v>
      </c>
      <c r="C64" s="634" t="s">
        <v>187</v>
      </c>
      <c r="D64" s="914">
        <v>2021</v>
      </c>
      <c r="E64" s="658">
        <f>'10-CWIP'!G74</f>
        <v>185770011.63999996</v>
      </c>
      <c r="F64" s="658">
        <f>'10-CWIP'!H74</f>
        <v>35442344.640000001</v>
      </c>
      <c r="G64" s="658">
        <f>'10-CWIP'!I74</f>
        <v>11274575.024999997</v>
      </c>
      <c r="H64" s="688">
        <v>0</v>
      </c>
      <c r="I64" s="651">
        <v>0</v>
      </c>
      <c r="J64" s="689">
        <v>0</v>
      </c>
      <c r="K64" s="601">
        <f t="shared" si="33"/>
        <v>968508713.61705995</v>
      </c>
      <c r="L64" s="601">
        <f t="shared" si="32"/>
        <v>1636474.7486391412</v>
      </c>
      <c r="M64" s="601">
        <f t="shared" si="34"/>
        <v>11573143.701822992</v>
      </c>
      <c r="N64" s="601">
        <f t="shared" si="29"/>
        <v>956935569.91523695</v>
      </c>
      <c r="O64" s="690">
        <v>0</v>
      </c>
      <c r="P64" s="689">
        <f t="shared" si="30"/>
        <v>0</v>
      </c>
      <c r="S64" s="601"/>
      <c r="T64" s="657"/>
      <c r="U64" s="653"/>
      <c r="V64" s="488"/>
      <c r="W64" s="657"/>
      <c r="X64" s="653"/>
      <c r="Y64" s="488"/>
    </row>
    <row r="65" spans="1:25" ht="13">
      <c r="A65" s="647">
        <f t="shared" si="31"/>
        <v>46</v>
      </c>
      <c r="C65" s="634" t="s">
        <v>188</v>
      </c>
      <c r="D65" s="914">
        <v>2021</v>
      </c>
      <c r="E65" s="658">
        <f>'10-CWIP'!G75</f>
        <v>19236333.759999998</v>
      </c>
      <c r="F65" s="658">
        <f>'10-CWIP'!H75</f>
        <v>301246.76</v>
      </c>
      <c r="G65" s="658">
        <f>'10-CWIP'!I75</f>
        <v>1420131.5249999997</v>
      </c>
      <c r="H65" s="688">
        <v>0</v>
      </c>
      <c r="I65" s="651">
        <v>0</v>
      </c>
      <c r="J65" s="689">
        <v>0</v>
      </c>
      <c r="K65" s="601">
        <f t="shared" si="33"/>
        <v>989165178.90205991</v>
      </c>
      <c r="L65" s="601">
        <f t="shared" si="32"/>
        <v>2054457.2304783098</v>
      </c>
      <c r="M65" s="601">
        <f t="shared" si="34"/>
        <v>13627600.932301302</v>
      </c>
      <c r="N65" s="601">
        <f t="shared" si="29"/>
        <v>975537577.96975863</v>
      </c>
      <c r="O65" s="690">
        <v>0</v>
      </c>
      <c r="P65" s="689">
        <f t="shared" si="30"/>
        <v>0</v>
      </c>
      <c r="S65" s="601"/>
      <c r="T65" s="657"/>
      <c r="U65" s="653"/>
      <c r="V65" s="488"/>
      <c r="W65" s="657"/>
      <c r="X65" s="653"/>
      <c r="Y65" s="488"/>
    </row>
    <row r="66" spans="1:25" ht="13">
      <c r="A66" s="648">
        <f t="shared" si="31"/>
        <v>47</v>
      </c>
      <c r="C66" s="634" t="s">
        <v>191</v>
      </c>
      <c r="D66" s="914">
        <v>2021</v>
      </c>
      <c r="E66" s="658">
        <f>'10-CWIP'!G76</f>
        <v>15946471.609999999</v>
      </c>
      <c r="F66" s="658">
        <f>'10-CWIP'!H76</f>
        <v>4965082.6100000003</v>
      </c>
      <c r="G66" s="658">
        <f>'10-CWIP'!I76</f>
        <v>823604.17499999993</v>
      </c>
      <c r="H66" s="688">
        <v>0</v>
      </c>
      <c r="I66" s="651">
        <v>0</v>
      </c>
      <c r="J66" s="689">
        <v>0</v>
      </c>
      <c r="K66" s="601">
        <f>K65+E66+G66</f>
        <v>1005935254.6870599</v>
      </c>
      <c r="L66" s="601">
        <f t="shared" si="32"/>
        <v>2098274.9306850545</v>
      </c>
      <c r="M66" s="601">
        <f t="shared" si="34"/>
        <v>15725875.862986356</v>
      </c>
      <c r="N66" s="601">
        <f t="shared" si="29"/>
        <v>990209378.82407355</v>
      </c>
      <c r="O66" s="690">
        <v>0</v>
      </c>
      <c r="P66" s="689">
        <f t="shared" si="30"/>
        <v>0</v>
      </c>
      <c r="S66" s="601"/>
      <c r="T66" s="657"/>
      <c r="U66" s="653"/>
      <c r="V66" s="488"/>
      <c r="W66" s="657"/>
      <c r="X66" s="653"/>
      <c r="Y66" s="488"/>
    </row>
    <row r="67" spans="1:25" ht="13">
      <c r="A67" s="648">
        <f t="shared" si="31"/>
        <v>48</v>
      </c>
      <c r="C67" s="634" t="s">
        <v>190</v>
      </c>
      <c r="D67" s="914">
        <v>2021</v>
      </c>
      <c r="E67" s="658">
        <f>'10-CWIP'!G77</f>
        <v>10090159</v>
      </c>
      <c r="F67" s="658">
        <f>'10-CWIP'!H77</f>
        <v>0</v>
      </c>
      <c r="G67" s="658">
        <f>'10-CWIP'!I77</f>
        <v>756761.92499999981</v>
      </c>
      <c r="H67" s="688">
        <v>0</v>
      </c>
      <c r="I67" s="651">
        <v>0</v>
      </c>
      <c r="J67" s="689">
        <v>0</v>
      </c>
      <c r="K67" s="601">
        <f>K66+E67+G67</f>
        <v>1016782175.6120598</v>
      </c>
      <c r="L67" s="601">
        <f t="shared" si="32"/>
        <v>2133848.5945744482</v>
      </c>
      <c r="M67" s="601">
        <f t="shared" si="34"/>
        <v>17859724.457560804</v>
      </c>
      <c r="N67" s="601">
        <f t="shared" si="29"/>
        <v>998922451.15449905</v>
      </c>
      <c r="O67" s="690">
        <v>0</v>
      </c>
      <c r="P67" s="689">
        <f t="shared" si="30"/>
        <v>0</v>
      </c>
      <c r="S67" s="601"/>
      <c r="T67" s="657"/>
      <c r="U67" s="653"/>
      <c r="V67" s="488"/>
      <c r="W67" s="657"/>
      <c r="X67" s="653"/>
      <c r="Y67" s="488"/>
    </row>
    <row r="68" spans="1:25" ht="13">
      <c r="A68" s="648">
        <f t="shared" si="31"/>
        <v>49</v>
      </c>
      <c r="C68" s="634" t="s">
        <v>180</v>
      </c>
      <c r="D68" s="914">
        <v>2021</v>
      </c>
      <c r="E68" s="658">
        <f>'10-CWIP'!G78</f>
        <v>78796464.099999994</v>
      </c>
      <c r="F68" s="658">
        <f>'10-CWIP'!H78</f>
        <v>41240899.099999994</v>
      </c>
      <c r="G68" s="658">
        <f>'10-CWIP'!I78</f>
        <v>2816667.375</v>
      </c>
      <c r="H68" s="688">
        <v>0</v>
      </c>
      <c r="I68" s="651">
        <v>0</v>
      </c>
      <c r="J68" s="689">
        <v>0</v>
      </c>
      <c r="K68" s="601">
        <f>K67+E68+G68</f>
        <v>1098395307.0870597</v>
      </c>
      <c r="L68" s="601">
        <f t="shared" si="32"/>
        <v>2156857.7165466887</v>
      </c>
      <c r="M68" s="601">
        <f t="shared" si="34"/>
        <v>20016582.174107492</v>
      </c>
      <c r="N68" s="601">
        <f t="shared" si="29"/>
        <v>1078378724.9129522</v>
      </c>
      <c r="O68" s="690">
        <v>0</v>
      </c>
      <c r="P68" s="689">
        <f t="shared" si="30"/>
        <v>0</v>
      </c>
      <c r="S68" s="601"/>
      <c r="T68" s="657"/>
      <c r="U68" s="653"/>
      <c r="V68" s="488"/>
      <c r="W68" s="657"/>
      <c r="X68" s="653"/>
      <c r="Y68" s="488"/>
    </row>
    <row r="69" spans="1:25" ht="13">
      <c r="A69" s="647"/>
      <c r="D69" s="656"/>
      <c r="G69" s="601"/>
      <c r="M69" s="598"/>
      <c r="N69" s="651"/>
    </row>
    <row r="70" spans="1:25" ht="13">
      <c r="A70" s="647"/>
      <c r="B70" s="603" t="s">
        <v>1959</v>
      </c>
      <c r="D70" s="656"/>
      <c r="G70" s="691"/>
      <c r="M70" s="598"/>
      <c r="N70" s="651"/>
    </row>
    <row r="71" spans="1:25" ht="13">
      <c r="A71" s="647"/>
      <c r="E71" s="642" t="s">
        <v>359</v>
      </c>
      <c r="F71" s="642" t="s">
        <v>343</v>
      </c>
      <c r="G71" s="642" t="s">
        <v>344</v>
      </c>
      <c r="H71" s="642" t="s">
        <v>345</v>
      </c>
      <c r="I71" s="642" t="s">
        <v>346</v>
      </c>
      <c r="J71" s="642" t="s">
        <v>347</v>
      </c>
      <c r="K71" s="642" t="s">
        <v>348</v>
      </c>
      <c r="L71" s="642" t="s">
        <v>537</v>
      </c>
      <c r="M71" s="642" t="s">
        <v>954</v>
      </c>
      <c r="N71" s="642" t="s">
        <v>967</v>
      </c>
      <c r="O71" s="642" t="s">
        <v>970</v>
      </c>
      <c r="P71" s="642" t="s">
        <v>988</v>
      </c>
    </row>
    <row r="72" spans="1:25" ht="25.5">
      <c r="A72" s="647"/>
      <c r="E72" s="644"/>
      <c r="F72" s="644"/>
      <c r="G72" s="645" t="str">
        <f>"=(C"&amp;RIGHT(E71)&amp;"-C"&amp;RIGHT(F71)&amp;")*L"&amp;$A$103</f>
        <v>=(C1-C2)*L74</v>
      </c>
      <c r="H72" s="644" t="str">
        <f>"=(C"&amp;RIGHT(E71)&amp;"-C"&amp;RIGHT(F71)&amp;"+C"&amp;RIGHT(G71)&amp;")*L"&amp;$A$107</f>
        <v>=(C1-C2+C3)*L75</v>
      </c>
      <c r="I72" s="644" t="str">
        <f>"=C"&amp;RIGHT(E71)&amp;"-C"&amp;RIGHT(F71)&amp;"+C"&amp;RIGHT(G71)&amp;"-C"&amp;RIGHT(H71)</f>
        <v>=C1-C2+C3-C4</v>
      </c>
      <c r="J72" s="645" t="str">
        <f>"=C"&amp;RIGHT(I71)&amp;"*L"&amp;$A$111</f>
        <v>=C5*L76</v>
      </c>
      <c r="K72" s="685" t="s">
        <v>1960</v>
      </c>
      <c r="L72" s="686" t="s">
        <v>2074</v>
      </c>
      <c r="M72" s="687" t="s">
        <v>2444</v>
      </c>
      <c r="N72" s="644" t="str">
        <f>"=C"&amp;RIGHT(K71)&amp;"-C"&amp;RIGHT(M71)</f>
        <v>=C7-C9</v>
      </c>
      <c r="P72" s="687" t="s">
        <v>2075</v>
      </c>
    </row>
    <row r="73" spans="1:25" ht="13">
      <c r="A73" s="647"/>
      <c r="C73" s="647" t="str">
        <f>C10</f>
        <v>Forecast</v>
      </c>
      <c r="E73" s="647" t="str">
        <f>E10</f>
        <v>Unloaded</v>
      </c>
      <c r="F73" s="647"/>
      <c r="G73" s="647"/>
      <c r="H73" s="648"/>
      <c r="I73" s="648" t="str">
        <f>I10</f>
        <v>AFUDC</v>
      </c>
      <c r="J73" s="648"/>
      <c r="K73" s="648"/>
      <c r="L73" s="648"/>
      <c r="M73" s="648"/>
      <c r="O73" s="647" t="str">
        <f>O10</f>
        <v>Unloaded</v>
      </c>
      <c r="P73" s="647" t="str">
        <f>P10</f>
        <v>Loaded</v>
      </c>
    </row>
    <row r="74" spans="1:25" ht="13">
      <c r="A74" s="647"/>
      <c r="C74" s="647" t="str">
        <f>C11</f>
        <v>Period</v>
      </c>
      <c r="E74" s="647" t="str">
        <f>E11</f>
        <v>Total</v>
      </c>
      <c r="F74" s="647" t="str">
        <f t="shared" ref="F74:H75" si="35">F11</f>
        <v>Prior Period</v>
      </c>
      <c r="G74" s="648" t="str">
        <f t="shared" si="35"/>
        <v>Over Heads</v>
      </c>
      <c r="H74" s="648" t="str">
        <f t="shared" si="35"/>
        <v xml:space="preserve">Cost of </v>
      </c>
      <c r="I74" s="648" t="str">
        <f>I11</f>
        <v>Eligible Plant</v>
      </c>
      <c r="J74" s="648"/>
      <c r="K74" s="648" t="str">
        <f>K11</f>
        <v>Incremental</v>
      </c>
      <c r="L74" s="648" t="str">
        <f>L11</f>
        <v>Depreciation</v>
      </c>
      <c r="M74" s="648" t="str">
        <f>M11</f>
        <v>Incremental</v>
      </c>
      <c r="O74" s="648" t="str">
        <f>O11</f>
        <v>Low Voltage</v>
      </c>
      <c r="P74" s="648" t="str">
        <f>P11</f>
        <v>Low Voltage</v>
      </c>
      <c r="Q74" s="647"/>
    </row>
    <row r="75" spans="1:25" ht="13">
      <c r="A75" s="649" t="s">
        <v>330</v>
      </c>
      <c r="C75" s="630" t="str">
        <f>C12</f>
        <v>Month</v>
      </c>
      <c r="D75" s="630" t="str">
        <f>D12</f>
        <v>Year</v>
      </c>
      <c r="E75" s="643" t="str">
        <f>E12</f>
        <v>Plant Adds</v>
      </c>
      <c r="F75" s="643" t="str">
        <f t="shared" si="35"/>
        <v>CWIP Closed</v>
      </c>
      <c r="G75" s="650" t="str">
        <f t="shared" si="35"/>
        <v>Closed to PIS</v>
      </c>
      <c r="H75" s="650" t="str">
        <f t="shared" si="35"/>
        <v>Removal</v>
      </c>
      <c r="I75" s="650" t="str">
        <f>I12</f>
        <v>Additions</v>
      </c>
      <c r="J75" s="650" t="str">
        <f t="shared" ref="J75:P75" si="36">J12</f>
        <v>AFUDC</v>
      </c>
      <c r="K75" s="650" t="str">
        <f t="shared" si="36"/>
        <v>Gross Plant</v>
      </c>
      <c r="L75" s="650" t="str">
        <f t="shared" si="36"/>
        <v>Accrual</v>
      </c>
      <c r="M75" s="650" t="str">
        <f t="shared" si="36"/>
        <v>Reserve</v>
      </c>
      <c r="N75" s="650" t="str">
        <f t="shared" si="36"/>
        <v>Net Plant</v>
      </c>
      <c r="O75" s="650" t="str">
        <f t="shared" si="36"/>
        <v>Additions</v>
      </c>
      <c r="P75" s="650" t="str">
        <f t="shared" si="36"/>
        <v>Additions</v>
      </c>
      <c r="Q75" s="650"/>
      <c r="S75" s="692"/>
      <c r="T75" s="650"/>
      <c r="U75" s="650"/>
      <c r="V75" s="650"/>
      <c r="W75" s="650"/>
      <c r="X75" s="650"/>
      <c r="Y75" s="650"/>
    </row>
    <row r="76" spans="1:25" ht="13">
      <c r="A76" s="647">
        <f>A68+1</f>
        <v>50</v>
      </c>
      <c r="C76" s="631" t="str">
        <f t="shared" ref="C76:C96" si="37">C45</f>
        <v>January</v>
      </c>
      <c r="D76" s="914">
        <v>2020</v>
      </c>
      <c r="E76" s="659">
        <v>6520859.7674745545</v>
      </c>
      <c r="F76" s="659">
        <v>626093.30416666798</v>
      </c>
      <c r="G76" s="651">
        <f t="shared" ref="G76:G98" si="38">(E76-F76)*$E$103</f>
        <v>442107.48474809149</v>
      </c>
      <c r="H76" s="601">
        <f t="shared" ref="H76:H99" si="39">(E76-F76+G76)*$E$107</f>
        <v>506949.91584447824</v>
      </c>
      <c r="I76" s="651">
        <f>E76-F76+G76-H76</f>
        <v>5829924.0322114993</v>
      </c>
      <c r="J76" s="651">
        <f t="shared" ref="J76:J99" si="40">I76*$E$111</f>
        <v>174897.72096634496</v>
      </c>
      <c r="K76" s="601">
        <f>F76+I76+J76</f>
        <v>6630915.0573445121</v>
      </c>
      <c r="L76" s="601">
        <v>0</v>
      </c>
      <c r="M76" s="601">
        <f>L76</f>
        <v>0</v>
      </c>
      <c r="N76" s="601">
        <f t="shared" ref="N76:N99" si="41">K76-M76</f>
        <v>6630915.0573445121</v>
      </c>
      <c r="O76" s="690">
        <v>0</v>
      </c>
      <c r="P76" s="601">
        <f t="shared" ref="P76:P96" si="42">O76*(1-$E$107)*(1+$E$103+$E$111)</f>
        <v>0</v>
      </c>
      <c r="Q76" s="657"/>
      <c r="R76" s="653"/>
      <c r="S76" s="657"/>
      <c r="T76" s="657"/>
      <c r="U76" s="653"/>
      <c r="V76" s="488"/>
      <c r="W76" s="657"/>
      <c r="X76" s="653"/>
      <c r="Y76" s="488"/>
    </row>
    <row r="77" spans="1:25" ht="13">
      <c r="A77" s="647">
        <f t="shared" si="31"/>
        <v>51</v>
      </c>
      <c r="C77" s="631" t="str">
        <f t="shared" si="37"/>
        <v>February</v>
      </c>
      <c r="D77" s="914">
        <v>2020</v>
      </c>
      <c r="E77" s="659">
        <v>8866682.1374745481</v>
      </c>
      <c r="F77" s="659">
        <v>2570581.6741666654</v>
      </c>
      <c r="G77" s="651">
        <f t="shared" si="38"/>
        <v>472207.53474809119</v>
      </c>
      <c r="H77" s="601">
        <f t="shared" si="39"/>
        <v>541464.63984447788</v>
      </c>
      <c r="I77" s="651">
        <f t="shared" ref="I77:I99" si="43">E77-F77+G77-H77</f>
        <v>6226843.3582114959</v>
      </c>
      <c r="J77" s="651">
        <f t="shared" si="40"/>
        <v>186805.30074634487</v>
      </c>
      <c r="K77" s="601">
        <f>K76+J77+I77+F77</f>
        <v>15615145.390469018</v>
      </c>
      <c r="L77" s="601">
        <f t="shared" ref="L77:L99" si="44">K76*$E$133/12</f>
        <v>14065.884170904132</v>
      </c>
      <c r="M77" s="601">
        <f>M76+L77</f>
        <v>14065.884170904132</v>
      </c>
      <c r="N77" s="601">
        <f t="shared" si="41"/>
        <v>15601079.506298114</v>
      </c>
      <c r="O77" s="690">
        <v>0</v>
      </c>
      <c r="P77" s="601">
        <f t="shared" si="42"/>
        <v>0</v>
      </c>
      <c r="Q77" s="657"/>
      <c r="R77" s="653"/>
      <c r="S77" s="657"/>
      <c r="T77" s="657"/>
      <c r="U77" s="653"/>
      <c r="V77" s="488"/>
      <c r="W77" s="657"/>
      <c r="X77" s="653"/>
      <c r="Y77" s="488"/>
    </row>
    <row r="78" spans="1:25" ht="13">
      <c r="A78" s="647">
        <f t="shared" si="31"/>
        <v>52</v>
      </c>
      <c r="C78" s="631" t="str">
        <f t="shared" si="37"/>
        <v>March</v>
      </c>
      <c r="D78" s="914">
        <v>2020</v>
      </c>
      <c r="E78" s="659">
        <v>6981435.367474556</v>
      </c>
      <c r="F78" s="659">
        <v>728519.90416666807</v>
      </c>
      <c r="G78" s="651">
        <f t="shared" si="38"/>
        <v>468968.6597480916</v>
      </c>
      <c r="H78" s="601">
        <f t="shared" si="39"/>
        <v>537750.72984447842</v>
      </c>
      <c r="I78" s="651">
        <f t="shared" si="43"/>
        <v>6184133.3932115007</v>
      </c>
      <c r="J78" s="651">
        <f t="shared" si="40"/>
        <v>185524.00179634502</v>
      </c>
      <c r="K78" s="601">
        <f t="shared" ref="K78:K99" si="45">K77+J78+I78+F78</f>
        <v>22713322.689643532</v>
      </c>
      <c r="L78" s="601">
        <f t="shared" si="44"/>
        <v>33123.758104982357</v>
      </c>
      <c r="M78" s="601">
        <f t="shared" ref="M78:M99" si="46">M77+L78</f>
        <v>47189.642275886486</v>
      </c>
      <c r="N78" s="601">
        <f t="shared" si="41"/>
        <v>22666133.047367647</v>
      </c>
      <c r="O78" s="690">
        <v>0</v>
      </c>
      <c r="P78" s="601">
        <f t="shared" si="42"/>
        <v>0</v>
      </c>
      <c r="Q78" s="657"/>
      <c r="R78" s="653"/>
      <c r="S78" s="657"/>
      <c r="T78" s="657"/>
      <c r="U78" s="653"/>
      <c r="V78" s="488"/>
      <c r="W78" s="657"/>
      <c r="X78" s="653"/>
      <c r="Y78" s="488"/>
    </row>
    <row r="79" spans="1:25" ht="13">
      <c r="A79" s="647">
        <f t="shared" si="31"/>
        <v>53</v>
      </c>
      <c r="C79" s="631" t="str">
        <f t="shared" si="37"/>
        <v>April</v>
      </c>
      <c r="D79" s="914">
        <v>2020</v>
      </c>
      <c r="E79" s="659">
        <v>6520859.7674745545</v>
      </c>
      <c r="F79" s="659">
        <v>626093.30416666798</v>
      </c>
      <c r="G79" s="651">
        <f t="shared" si="38"/>
        <v>442107.48474809149</v>
      </c>
      <c r="H79" s="601">
        <f t="shared" si="39"/>
        <v>506949.91584447824</v>
      </c>
      <c r="I79" s="651">
        <f t="shared" si="43"/>
        <v>5829924.0322114993</v>
      </c>
      <c r="J79" s="651">
        <f t="shared" si="40"/>
        <v>174897.72096634496</v>
      </c>
      <c r="K79" s="601">
        <f t="shared" si="45"/>
        <v>29344237.746988043</v>
      </c>
      <c r="L79" s="601">
        <f t="shared" si="44"/>
        <v>48180.826224734999</v>
      </c>
      <c r="M79" s="601">
        <f t="shared" si="46"/>
        <v>95370.468500621486</v>
      </c>
      <c r="N79" s="601">
        <f t="shared" si="41"/>
        <v>29248867.278487422</v>
      </c>
      <c r="O79" s="690">
        <v>0</v>
      </c>
      <c r="P79" s="601">
        <f t="shared" si="42"/>
        <v>0</v>
      </c>
      <c r="Q79" s="657"/>
      <c r="R79" s="653"/>
      <c r="S79" s="657"/>
      <c r="T79" s="657"/>
      <c r="U79" s="653"/>
      <c r="V79" s="488"/>
      <c r="W79" s="657"/>
      <c r="X79" s="653"/>
      <c r="Y79" s="488"/>
    </row>
    <row r="80" spans="1:25" ht="13">
      <c r="A80" s="647">
        <f t="shared" si="31"/>
        <v>54</v>
      </c>
      <c r="C80" s="631" t="str">
        <f t="shared" si="37"/>
        <v>May</v>
      </c>
      <c r="D80" s="914">
        <v>2020</v>
      </c>
      <c r="E80" s="659">
        <v>29634916.687474575</v>
      </c>
      <c r="F80" s="659">
        <v>20779250.224166688</v>
      </c>
      <c r="G80" s="651">
        <f t="shared" si="38"/>
        <v>664174.98474809155</v>
      </c>
      <c r="H80" s="601">
        <f t="shared" si="39"/>
        <v>761587.31584447832</v>
      </c>
      <c r="I80" s="651">
        <f t="shared" si="43"/>
        <v>8758254.1322115008</v>
      </c>
      <c r="J80" s="651">
        <f t="shared" si="40"/>
        <v>262747.62396634504</v>
      </c>
      <c r="K80" s="601">
        <f t="shared" si="45"/>
        <v>59144489.727332577</v>
      </c>
      <c r="L80" s="601">
        <f t="shared" si="44"/>
        <v>62246.710395639129</v>
      </c>
      <c r="M80" s="601">
        <f t="shared" si="46"/>
        <v>157617.17889626062</v>
      </c>
      <c r="N80" s="601">
        <f t="shared" si="41"/>
        <v>58986872.548436314</v>
      </c>
      <c r="O80" s="690">
        <v>0</v>
      </c>
      <c r="P80" s="601">
        <f t="shared" si="42"/>
        <v>0</v>
      </c>
      <c r="Q80" s="657"/>
      <c r="R80" s="653"/>
      <c r="S80" s="657"/>
      <c r="T80" s="657"/>
      <c r="U80" s="653"/>
      <c r="V80" s="488"/>
      <c r="W80" s="657"/>
      <c r="X80" s="653"/>
      <c r="Y80" s="488"/>
    </row>
    <row r="81" spans="1:25" ht="13">
      <c r="A81" s="647">
        <f t="shared" si="31"/>
        <v>55</v>
      </c>
      <c r="C81" s="631" t="str">
        <f t="shared" si="37"/>
        <v xml:space="preserve">June </v>
      </c>
      <c r="D81" s="914">
        <v>2020</v>
      </c>
      <c r="E81" s="659">
        <v>45882323.40747457</v>
      </c>
      <c r="F81" s="659">
        <v>22901660.944166679</v>
      </c>
      <c r="G81" s="651">
        <f t="shared" si="38"/>
        <v>1723549.6847480917</v>
      </c>
      <c r="H81" s="601">
        <f t="shared" si="39"/>
        <v>1976336.9718444785</v>
      </c>
      <c r="I81" s="651">
        <f t="shared" si="43"/>
        <v>22727875.176211502</v>
      </c>
      <c r="J81" s="651">
        <f t="shared" si="40"/>
        <v>681836.25528634503</v>
      </c>
      <c r="K81" s="601">
        <f t="shared" si="45"/>
        <v>105455862.10299709</v>
      </c>
      <c r="L81" s="601">
        <f t="shared" si="44"/>
        <v>125460.74480782881</v>
      </c>
      <c r="M81" s="601">
        <f t="shared" si="46"/>
        <v>283077.92370408942</v>
      </c>
      <c r="N81" s="601">
        <f t="shared" si="41"/>
        <v>105172784.17929301</v>
      </c>
      <c r="O81" s="690">
        <v>434796.99999999994</v>
      </c>
      <c r="P81" s="601">
        <f t="shared" si="42"/>
        <v>442014.63019999996</v>
      </c>
      <c r="Q81" s="657"/>
      <c r="R81" s="653"/>
      <c r="S81" s="657"/>
      <c r="T81" s="657"/>
      <c r="U81" s="653"/>
      <c r="V81" s="488"/>
      <c r="W81" s="657"/>
      <c r="X81" s="653"/>
      <c r="Y81" s="488"/>
    </row>
    <row r="82" spans="1:25" ht="13">
      <c r="A82" s="647">
        <f t="shared" si="31"/>
        <v>56</v>
      </c>
      <c r="C82" s="631" t="str">
        <f t="shared" si="37"/>
        <v>July</v>
      </c>
      <c r="D82" s="914">
        <v>2020</v>
      </c>
      <c r="E82" s="659">
        <v>8587116.4674745649</v>
      </c>
      <c r="F82" s="659">
        <v>1997320.8541666679</v>
      </c>
      <c r="G82" s="651">
        <f t="shared" si="38"/>
        <v>494234.67099809228</v>
      </c>
      <c r="H82" s="601">
        <f t="shared" si="39"/>
        <v>566722.42274447915</v>
      </c>
      <c r="I82" s="651">
        <f t="shared" si="43"/>
        <v>6517307.8615615107</v>
      </c>
      <c r="J82" s="651">
        <f t="shared" si="40"/>
        <v>195519.23584684532</v>
      </c>
      <c r="K82" s="601">
        <f t="shared" si="45"/>
        <v>114166010.05457212</v>
      </c>
      <c r="L82" s="601">
        <f t="shared" si="44"/>
        <v>223699.13181750607</v>
      </c>
      <c r="M82" s="601">
        <f t="shared" si="46"/>
        <v>506777.05552159552</v>
      </c>
      <c r="N82" s="601">
        <f t="shared" si="41"/>
        <v>113659232.99905053</v>
      </c>
      <c r="O82" s="690">
        <v>434796.99999999994</v>
      </c>
      <c r="P82" s="601">
        <f t="shared" si="42"/>
        <v>442014.63019999996</v>
      </c>
      <c r="Q82" s="657"/>
      <c r="R82" s="653"/>
      <c r="S82" s="657"/>
      <c r="T82" s="657"/>
      <c r="U82" s="653"/>
      <c r="V82" s="488"/>
      <c r="W82" s="657"/>
      <c r="X82" s="653"/>
      <c r="Y82" s="488"/>
    </row>
    <row r="83" spans="1:25" ht="13">
      <c r="A83" s="647">
        <f t="shared" si="31"/>
        <v>57</v>
      </c>
      <c r="C83" s="631" t="str">
        <f t="shared" si="37"/>
        <v>August</v>
      </c>
      <c r="D83" s="914">
        <v>2020</v>
      </c>
      <c r="E83" s="659">
        <v>43103487.567474484</v>
      </c>
      <c r="F83" s="659">
        <v>15714170.064166641</v>
      </c>
      <c r="G83" s="651">
        <f t="shared" si="38"/>
        <v>2054198.812748088</v>
      </c>
      <c r="H83" s="601">
        <f t="shared" si="39"/>
        <v>2355481.3052844745</v>
      </c>
      <c r="I83" s="651">
        <f t="shared" si="43"/>
        <v>27088035.010771457</v>
      </c>
      <c r="J83" s="651">
        <f t="shared" si="40"/>
        <v>812641.05032314372</v>
      </c>
      <c r="K83" s="601">
        <f t="shared" si="45"/>
        <v>157780856.17983335</v>
      </c>
      <c r="L83" s="601">
        <f t="shared" si="44"/>
        <v>242175.60620132307</v>
      </c>
      <c r="M83" s="601">
        <f t="shared" si="46"/>
        <v>748952.66172291862</v>
      </c>
      <c r="N83" s="601">
        <f t="shared" si="41"/>
        <v>157031903.51811042</v>
      </c>
      <c r="O83" s="690">
        <v>434796.99999999994</v>
      </c>
      <c r="P83" s="601">
        <f t="shared" si="42"/>
        <v>442014.63019999996</v>
      </c>
      <c r="Q83" s="657"/>
      <c r="R83" s="653"/>
      <c r="S83" s="657"/>
      <c r="T83" s="657"/>
      <c r="U83" s="653"/>
      <c r="V83" s="488"/>
      <c r="W83" s="657"/>
      <c r="X83" s="653"/>
      <c r="Y83" s="488"/>
    </row>
    <row r="84" spans="1:25" ht="13">
      <c r="A84" s="647">
        <f t="shared" si="31"/>
        <v>58</v>
      </c>
      <c r="C84" s="631" t="str">
        <f t="shared" si="37"/>
        <v>September</v>
      </c>
      <c r="D84" s="914">
        <v>2020</v>
      </c>
      <c r="E84" s="659">
        <v>6520859.7674745619</v>
      </c>
      <c r="F84" s="659">
        <v>626093.30416666798</v>
      </c>
      <c r="G84" s="651">
        <f t="shared" si="38"/>
        <v>442107.48474809201</v>
      </c>
      <c r="H84" s="601">
        <f t="shared" si="39"/>
        <v>506949.91584447894</v>
      </c>
      <c r="I84" s="651">
        <f t="shared" si="43"/>
        <v>5829924.0322115077</v>
      </c>
      <c r="J84" s="651">
        <f t="shared" si="40"/>
        <v>174897.72096634522</v>
      </c>
      <c r="K84" s="601">
        <f t="shared" si="45"/>
        <v>164411771.23717788</v>
      </c>
      <c r="L84" s="601">
        <f t="shared" si="44"/>
        <v>334693.96428980882</v>
      </c>
      <c r="M84" s="601">
        <f t="shared" si="46"/>
        <v>1083646.6260127274</v>
      </c>
      <c r="N84" s="601">
        <f t="shared" si="41"/>
        <v>163328124.61116517</v>
      </c>
      <c r="O84" s="690">
        <v>434796.99999999994</v>
      </c>
      <c r="P84" s="601">
        <f t="shared" si="42"/>
        <v>442014.63019999996</v>
      </c>
      <c r="Q84" s="657"/>
      <c r="R84" s="653"/>
      <c r="S84" s="657"/>
      <c r="T84" s="657"/>
      <c r="U84" s="653"/>
      <c r="V84" s="488"/>
      <c r="W84" s="657"/>
      <c r="X84" s="653"/>
      <c r="Y84" s="488"/>
    </row>
    <row r="85" spans="1:25" ht="13">
      <c r="A85" s="647">
        <f t="shared" si="31"/>
        <v>59</v>
      </c>
      <c r="C85" s="631" t="str">
        <f t="shared" si="37"/>
        <v xml:space="preserve">October </v>
      </c>
      <c r="D85" s="914">
        <v>2020</v>
      </c>
      <c r="E85" s="659">
        <v>6782215.4674745798</v>
      </c>
      <c r="F85" s="659">
        <v>627849.00416666793</v>
      </c>
      <c r="G85" s="651">
        <f t="shared" si="38"/>
        <v>461577.48474809335</v>
      </c>
      <c r="H85" s="601">
        <f t="shared" si="39"/>
        <v>529275.51584448037</v>
      </c>
      <c r="I85" s="651">
        <f t="shared" si="43"/>
        <v>6086668.4322115248</v>
      </c>
      <c r="J85" s="651">
        <f t="shared" si="40"/>
        <v>182600.05296634574</v>
      </c>
      <c r="K85" s="601">
        <f t="shared" si="45"/>
        <v>171308888.72652242</v>
      </c>
      <c r="L85" s="601">
        <f t="shared" si="44"/>
        <v>348759.84846071294</v>
      </c>
      <c r="M85" s="601">
        <f t="shared" si="46"/>
        <v>1432406.4744734403</v>
      </c>
      <c r="N85" s="601">
        <f t="shared" si="41"/>
        <v>169876482.25204897</v>
      </c>
      <c r="O85" s="690">
        <v>696152.7</v>
      </c>
      <c r="P85" s="601">
        <f t="shared" si="42"/>
        <v>707708.83481999987</v>
      </c>
      <c r="Q85" s="657"/>
      <c r="R85" s="653"/>
      <c r="S85" s="657"/>
      <c r="T85" s="657"/>
      <c r="U85" s="653"/>
      <c r="V85" s="488"/>
      <c r="W85" s="657"/>
      <c r="X85" s="653"/>
      <c r="Y85" s="488"/>
    </row>
    <row r="86" spans="1:25" ht="13">
      <c r="A86" s="647">
        <f t="shared" si="31"/>
        <v>60</v>
      </c>
      <c r="C86" s="631" t="str">
        <f t="shared" si="37"/>
        <v>November</v>
      </c>
      <c r="D86" s="914">
        <v>2020</v>
      </c>
      <c r="E86" s="659">
        <v>14003017.517474562</v>
      </c>
      <c r="F86" s="659">
        <v>4396079.0541666718</v>
      </c>
      <c r="G86" s="651">
        <f t="shared" si="38"/>
        <v>720520.3847480918</v>
      </c>
      <c r="H86" s="601">
        <f t="shared" si="39"/>
        <v>826196.70784447866</v>
      </c>
      <c r="I86" s="651">
        <f t="shared" si="43"/>
        <v>9501262.140211504</v>
      </c>
      <c r="J86" s="651">
        <f t="shared" si="40"/>
        <v>285037.86420634511</v>
      </c>
      <c r="K86" s="601">
        <f t="shared" si="45"/>
        <v>185491267.78510693</v>
      </c>
      <c r="L86" s="601">
        <f t="shared" si="44"/>
        <v>363390.41677281685</v>
      </c>
      <c r="M86" s="601">
        <f t="shared" si="46"/>
        <v>1795796.8912462571</v>
      </c>
      <c r="N86" s="601">
        <f t="shared" si="41"/>
        <v>183695470.89386067</v>
      </c>
      <c r="O86" s="690">
        <v>696152.7</v>
      </c>
      <c r="P86" s="601">
        <f t="shared" si="42"/>
        <v>707708.83481999987</v>
      </c>
      <c r="Q86" s="657"/>
      <c r="R86" s="653"/>
      <c r="S86" s="657"/>
      <c r="T86" s="657"/>
      <c r="U86" s="653"/>
      <c r="V86" s="488"/>
      <c r="W86" s="657"/>
      <c r="X86" s="653"/>
      <c r="Y86" s="488"/>
    </row>
    <row r="87" spans="1:25" ht="13">
      <c r="A87" s="647">
        <f t="shared" si="31"/>
        <v>61</v>
      </c>
      <c r="C87" s="631" t="str">
        <f t="shared" si="37"/>
        <v>December</v>
      </c>
      <c r="D87" s="914">
        <v>2020</v>
      </c>
      <c r="E87" s="659">
        <v>128708312.19767445</v>
      </c>
      <c r="F87" s="659">
        <v>89270617.154466599</v>
      </c>
      <c r="G87" s="651">
        <f t="shared" si="38"/>
        <v>2957827.1282405891</v>
      </c>
      <c r="H87" s="601">
        <f t="shared" si="39"/>
        <v>3391641.7737158751</v>
      </c>
      <c r="I87" s="651">
        <f t="shared" si="43"/>
        <v>39003880.397732563</v>
      </c>
      <c r="J87" s="651">
        <f t="shared" si="40"/>
        <v>1170116.4119319769</v>
      </c>
      <c r="K87" s="601">
        <f t="shared" si="45"/>
        <v>314935881.74923807</v>
      </c>
      <c r="L87" s="601">
        <f t="shared" si="44"/>
        <v>393474.90728140064</v>
      </c>
      <c r="M87" s="601">
        <f t="shared" si="46"/>
        <v>2189271.798527658</v>
      </c>
      <c r="N87" s="601">
        <f t="shared" si="41"/>
        <v>312746609.95071042</v>
      </c>
      <c r="O87" s="690">
        <v>696152.7</v>
      </c>
      <c r="P87" s="601">
        <f t="shared" si="42"/>
        <v>707708.83481999987</v>
      </c>
      <c r="Q87" s="657"/>
      <c r="R87" s="653"/>
      <c r="S87" s="657"/>
      <c r="T87" s="657"/>
      <c r="U87" s="653"/>
      <c r="V87" s="488"/>
      <c r="W87" s="657"/>
      <c r="X87" s="653"/>
      <c r="Y87" s="488"/>
    </row>
    <row r="88" spans="1:25" ht="13">
      <c r="A88" s="647">
        <f t="shared" si="31"/>
        <v>62</v>
      </c>
      <c r="C88" s="631" t="str">
        <f t="shared" si="37"/>
        <v>January</v>
      </c>
      <c r="D88" s="914">
        <v>2021</v>
      </c>
      <c r="E88" s="659">
        <v>9582167.3822997808</v>
      </c>
      <c r="F88" s="659">
        <v>34057.140000000007</v>
      </c>
      <c r="G88" s="651">
        <f t="shared" si="38"/>
        <v>716108.26817248354</v>
      </c>
      <c r="H88" s="601">
        <f t="shared" si="39"/>
        <v>821137.4808377811</v>
      </c>
      <c r="I88" s="651">
        <f t="shared" si="43"/>
        <v>9443081.0296344832</v>
      </c>
      <c r="J88" s="651">
        <f t="shared" si="40"/>
        <v>283292.43088903447</v>
      </c>
      <c r="K88" s="601">
        <f t="shared" si="45"/>
        <v>324696312.34976155</v>
      </c>
      <c r="L88" s="601">
        <f t="shared" si="44"/>
        <v>668060.3801491569</v>
      </c>
      <c r="M88" s="601">
        <f t="shared" si="46"/>
        <v>2857332.1786768148</v>
      </c>
      <c r="N88" s="601">
        <f t="shared" si="41"/>
        <v>321838980.1710847</v>
      </c>
      <c r="O88" s="690">
        <v>696152.7</v>
      </c>
      <c r="P88" s="601">
        <f t="shared" si="42"/>
        <v>707708.83481999987</v>
      </c>
      <c r="Q88" s="657"/>
      <c r="R88" s="653"/>
      <c r="S88" s="657"/>
      <c r="T88" s="657"/>
      <c r="U88" s="653"/>
      <c r="V88" s="488"/>
      <c r="W88" s="657"/>
      <c r="X88" s="653"/>
      <c r="Y88" s="488"/>
    </row>
    <row r="89" spans="1:25" ht="13">
      <c r="A89" s="647">
        <f t="shared" si="31"/>
        <v>63</v>
      </c>
      <c r="C89" s="631" t="str">
        <f t="shared" si="37"/>
        <v>February</v>
      </c>
      <c r="D89" s="914">
        <v>2021</v>
      </c>
      <c r="E89" s="659">
        <v>12999320.492299795</v>
      </c>
      <c r="F89" s="659">
        <v>1312072.72</v>
      </c>
      <c r="G89" s="651">
        <f t="shared" si="38"/>
        <v>876543.58292248461</v>
      </c>
      <c r="H89" s="601">
        <f t="shared" si="39"/>
        <v>1005103.3084177823</v>
      </c>
      <c r="I89" s="651">
        <f t="shared" si="43"/>
        <v>11558688.046804497</v>
      </c>
      <c r="J89" s="651">
        <f t="shared" si="40"/>
        <v>346760.64140413492</v>
      </c>
      <c r="K89" s="601">
        <f t="shared" si="45"/>
        <v>337913833.75797021</v>
      </c>
      <c r="L89" s="601">
        <f t="shared" si="44"/>
        <v>688764.77540951362</v>
      </c>
      <c r="M89" s="601">
        <f t="shared" si="46"/>
        <v>3546096.9540863284</v>
      </c>
      <c r="N89" s="601">
        <f t="shared" si="41"/>
        <v>334367736.80388391</v>
      </c>
      <c r="O89" s="690">
        <v>696152.7</v>
      </c>
      <c r="P89" s="601">
        <f t="shared" si="42"/>
        <v>707708.83481999987</v>
      </c>
      <c r="Q89" s="657"/>
      <c r="R89" s="653"/>
      <c r="S89" s="657"/>
      <c r="T89" s="657"/>
      <c r="U89" s="653"/>
      <c r="V89" s="488"/>
      <c r="W89" s="657"/>
      <c r="X89" s="653"/>
      <c r="Y89" s="488"/>
    </row>
    <row r="90" spans="1:25" ht="13">
      <c r="A90" s="647">
        <f t="shared" si="31"/>
        <v>64</v>
      </c>
      <c r="C90" s="631" t="str">
        <f t="shared" si="37"/>
        <v>March</v>
      </c>
      <c r="D90" s="914">
        <v>2021</v>
      </c>
      <c r="E90" s="659">
        <v>11064236.608334303</v>
      </c>
      <c r="F90" s="659">
        <v>216549.91603452576</v>
      </c>
      <c r="G90" s="651">
        <f t="shared" si="38"/>
        <v>813576.50192248332</v>
      </c>
      <c r="H90" s="601">
        <f t="shared" si="39"/>
        <v>932901.05553778086</v>
      </c>
      <c r="I90" s="651">
        <f t="shared" si="43"/>
        <v>10728362.13868448</v>
      </c>
      <c r="J90" s="651">
        <f t="shared" si="40"/>
        <v>321850.8641605344</v>
      </c>
      <c r="K90" s="601">
        <f t="shared" si="45"/>
        <v>349180596.67684972</v>
      </c>
      <c r="L90" s="601">
        <f t="shared" si="44"/>
        <v>716802.55353613663</v>
      </c>
      <c r="M90" s="601">
        <f t="shared" si="46"/>
        <v>4262899.5076224655</v>
      </c>
      <c r="N90" s="601">
        <f t="shared" si="41"/>
        <v>344917697.16922724</v>
      </c>
      <c r="O90" s="690">
        <v>696152.7</v>
      </c>
      <c r="P90" s="601">
        <f t="shared" si="42"/>
        <v>707708.83481999987</v>
      </c>
      <c r="Q90" s="657"/>
      <c r="R90" s="653"/>
      <c r="S90" s="657"/>
      <c r="T90" s="657"/>
      <c r="U90" s="653"/>
      <c r="V90" s="488"/>
      <c r="W90" s="657"/>
      <c r="X90" s="653"/>
      <c r="Y90" s="488"/>
    </row>
    <row r="91" spans="1:25" ht="13">
      <c r="A91" s="647">
        <f t="shared" si="31"/>
        <v>65</v>
      </c>
      <c r="C91" s="631" t="str">
        <f t="shared" si="37"/>
        <v>April</v>
      </c>
      <c r="D91" s="914">
        <v>2021</v>
      </c>
      <c r="E91" s="659">
        <v>29752128.992299795</v>
      </c>
      <c r="F91" s="659">
        <v>262635.75</v>
      </c>
      <c r="G91" s="651">
        <f t="shared" si="38"/>
        <v>2211711.9931724845</v>
      </c>
      <c r="H91" s="601">
        <f t="shared" si="39"/>
        <v>2536096.4188377825</v>
      </c>
      <c r="I91" s="651">
        <f t="shared" si="43"/>
        <v>29165108.816634499</v>
      </c>
      <c r="J91" s="651">
        <f t="shared" si="40"/>
        <v>874953.26449903497</v>
      </c>
      <c r="K91" s="601">
        <f t="shared" si="45"/>
        <v>379483294.50798321</v>
      </c>
      <c r="L91" s="601">
        <f t="shared" si="44"/>
        <v>740702.26885860413</v>
      </c>
      <c r="M91" s="601">
        <f t="shared" si="46"/>
        <v>5003601.7764810696</v>
      </c>
      <c r="N91" s="601">
        <f t="shared" si="41"/>
        <v>374479692.73150212</v>
      </c>
      <c r="O91" s="690">
        <v>696152.7</v>
      </c>
      <c r="P91" s="601">
        <f t="shared" si="42"/>
        <v>707708.83481999987</v>
      </c>
      <c r="Q91" s="657"/>
      <c r="R91" s="653"/>
      <c r="S91" s="657"/>
      <c r="T91" s="657"/>
      <c r="U91" s="653"/>
      <c r="V91" s="488"/>
      <c r="W91" s="657"/>
      <c r="X91" s="653"/>
      <c r="Y91" s="488"/>
    </row>
    <row r="92" spans="1:25" ht="13">
      <c r="A92" s="647">
        <f t="shared" si="31"/>
        <v>66</v>
      </c>
      <c r="C92" s="631" t="str">
        <f t="shared" si="37"/>
        <v>May</v>
      </c>
      <c r="D92" s="914">
        <v>2021</v>
      </c>
      <c r="E92" s="659">
        <v>9516702.6122997999</v>
      </c>
      <c r="F92" s="659">
        <v>114882.37</v>
      </c>
      <c r="G92" s="651">
        <f t="shared" si="38"/>
        <v>705136.51817248506</v>
      </c>
      <c r="H92" s="601">
        <f t="shared" si="39"/>
        <v>808556.5408377829</v>
      </c>
      <c r="I92" s="651">
        <f t="shared" si="43"/>
        <v>9298400.2196345031</v>
      </c>
      <c r="J92" s="651">
        <f t="shared" si="40"/>
        <v>278952.0065890351</v>
      </c>
      <c r="K92" s="601">
        <f t="shared" si="45"/>
        <v>389175529.1042068</v>
      </c>
      <c r="L92" s="601">
        <f t="shared" si="44"/>
        <v>804982.12074518902</v>
      </c>
      <c r="M92" s="601">
        <f t="shared" si="46"/>
        <v>5808583.8972262591</v>
      </c>
      <c r="N92" s="601">
        <f t="shared" si="41"/>
        <v>383366945.20698053</v>
      </c>
      <c r="O92" s="690">
        <v>696152.7</v>
      </c>
      <c r="P92" s="601">
        <f t="shared" si="42"/>
        <v>707708.83481999987</v>
      </c>
      <c r="Q92" s="657"/>
      <c r="R92" s="653"/>
      <c r="S92" s="657"/>
      <c r="T92" s="657"/>
      <c r="U92" s="653"/>
      <c r="V92" s="488"/>
      <c r="W92" s="657"/>
      <c r="X92" s="653"/>
      <c r="Y92" s="488"/>
    </row>
    <row r="93" spans="1:25" ht="13">
      <c r="A93" s="647">
        <f t="shared" si="31"/>
        <v>67</v>
      </c>
      <c r="C93" s="631" t="str">
        <f t="shared" si="37"/>
        <v xml:space="preserve">June </v>
      </c>
      <c r="D93" s="914">
        <v>2021</v>
      </c>
      <c r="E93" s="659">
        <v>11699003.45734781</v>
      </c>
      <c r="F93" s="659">
        <v>232803.55504800001</v>
      </c>
      <c r="G93" s="651">
        <f t="shared" si="38"/>
        <v>859964.99267248577</v>
      </c>
      <c r="H93" s="601">
        <f t="shared" si="39"/>
        <v>986093.19159778371</v>
      </c>
      <c r="I93" s="651">
        <f t="shared" si="43"/>
        <v>11340071.703374512</v>
      </c>
      <c r="J93" s="651">
        <f t="shared" si="40"/>
        <v>340202.15110123536</v>
      </c>
      <c r="K93" s="601">
        <f t="shared" si="45"/>
        <v>401088606.51373053</v>
      </c>
      <c r="L93" s="601">
        <f t="shared" si="44"/>
        <v>825541.85465954675</v>
      </c>
      <c r="M93" s="601">
        <f t="shared" si="46"/>
        <v>6634125.7518858062</v>
      </c>
      <c r="N93" s="601">
        <f t="shared" si="41"/>
        <v>394454480.76184469</v>
      </c>
      <c r="O93" s="690">
        <v>1496152.7000000002</v>
      </c>
      <c r="P93" s="601">
        <f t="shared" si="42"/>
        <v>1520988.8348200002</v>
      </c>
      <c r="Q93" s="657"/>
      <c r="R93" s="653"/>
      <c r="S93" s="657"/>
      <c r="T93" s="657"/>
      <c r="U93" s="653"/>
      <c r="V93" s="488"/>
      <c r="W93" s="657"/>
      <c r="X93" s="653"/>
      <c r="Y93" s="488"/>
    </row>
    <row r="94" spans="1:25" ht="13">
      <c r="A94" s="647">
        <f t="shared" si="31"/>
        <v>68</v>
      </c>
      <c r="C94" s="631" t="str">
        <f t="shared" si="37"/>
        <v>July</v>
      </c>
      <c r="D94" s="914">
        <v>2021</v>
      </c>
      <c r="E94" s="659">
        <v>9973810.1722998023</v>
      </c>
      <c r="F94" s="659">
        <v>21989.929999999989</v>
      </c>
      <c r="G94" s="651">
        <f t="shared" si="38"/>
        <v>746386.51817248517</v>
      </c>
      <c r="H94" s="601">
        <f t="shared" si="39"/>
        <v>855856.54083778313</v>
      </c>
      <c r="I94" s="651">
        <f t="shared" si="43"/>
        <v>9842350.219634505</v>
      </c>
      <c r="J94" s="651">
        <f t="shared" si="40"/>
        <v>295270.50658903515</v>
      </c>
      <c r="K94" s="601">
        <f t="shared" si="45"/>
        <v>411248217.16995412</v>
      </c>
      <c r="L94" s="601">
        <f t="shared" si="44"/>
        <v>850812.57001515583</v>
      </c>
      <c r="M94" s="601">
        <f t="shared" si="46"/>
        <v>7484938.3219009619</v>
      </c>
      <c r="N94" s="601">
        <f t="shared" si="41"/>
        <v>403763278.84805316</v>
      </c>
      <c r="O94" s="690">
        <v>1496152.7000000002</v>
      </c>
      <c r="P94" s="601">
        <f t="shared" si="42"/>
        <v>1520988.8348200002</v>
      </c>
      <c r="Q94" s="657"/>
      <c r="R94" s="653"/>
      <c r="S94" s="657"/>
      <c r="T94" s="657"/>
      <c r="U94" s="653"/>
      <c r="V94" s="488"/>
      <c r="W94" s="657"/>
      <c r="X94" s="653"/>
      <c r="Y94" s="488"/>
    </row>
    <row r="95" spans="1:25" ht="13">
      <c r="A95" s="647">
        <f t="shared" si="31"/>
        <v>69</v>
      </c>
      <c r="C95" s="631" t="str">
        <f t="shared" si="37"/>
        <v>August</v>
      </c>
      <c r="D95" s="914">
        <v>2021</v>
      </c>
      <c r="E95" s="659">
        <v>11039320.562299788</v>
      </c>
      <c r="F95" s="659">
        <v>2500.3200000000002</v>
      </c>
      <c r="G95" s="651">
        <f t="shared" si="38"/>
        <v>827761.51817248401</v>
      </c>
      <c r="H95" s="601">
        <f t="shared" si="39"/>
        <v>949166.54083778174</v>
      </c>
      <c r="I95" s="651">
        <f t="shared" si="43"/>
        <v>10915415.21963449</v>
      </c>
      <c r="J95" s="651">
        <f t="shared" si="40"/>
        <v>327462.4565890347</v>
      </c>
      <c r="K95" s="601">
        <f t="shared" si="45"/>
        <v>422493595.16617763</v>
      </c>
      <c r="L95" s="601">
        <f t="shared" si="44"/>
        <v>872363.72931610944</v>
      </c>
      <c r="M95" s="601">
        <f t="shared" si="46"/>
        <v>8357302.0512170717</v>
      </c>
      <c r="N95" s="601">
        <f t="shared" si="41"/>
        <v>414136293.11496055</v>
      </c>
      <c r="O95" s="690">
        <v>1827152.7000000002</v>
      </c>
      <c r="P95" s="601">
        <f t="shared" si="42"/>
        <v>1857483.4348200001</v>
      </c>
      <c r="Q95" s="657"/>
      <c r="R95" s="653"/>
      <c r="S95" s="657"/>
      <c r="T95" s="657"/>
      <c r="U95" s="653"/>
      <c r="V95" s="488"/>
      <c r="W95" s="657"/>
      <c r="X95" s="653"/>
      <c r="Y95" s="488"/>
    </row>
    <row r="96" spans="1:25" ht="13">
      <c r="A96" s="647">
        <f t="shared" si="31"/>
        <v>70</v>
      </c>
      <c r="C96" s="631" t="str">
        <f t="shared" si="37"/>
        <v>September</v>
      </c>
      <c r="D96" s="914">
        <v>2021</v>
      </c>
      <c r="E96" s="659">
        <v>18488281.752299845</v>
      </c>
      <c r="F96" s="659">
        <v>42461.510000000038</v>
      </c>
      <c r="G96" s="651">
        <f t="shared" si="38"/>
        <v>1383436.5181724883</v>
      </c>
      <c r="H96" s="601">
        <f t="shared" si="39"/>
        <v>1586340.5408377866</v>
      </c>
      <c r="I96" s="651">
        <f t="shared" si="43"/>
        <v>18242916.219634544</v>
      </c>
      <c r="J96" s="651">
        <f t="shared" si="40"/>
        <v>547287.4865890363</v>
      </c>
      <c r="K96" s="601">
        <f t="shared" si="45"/>
        <v>441326260.38240117</v>
      </c>
      <c r="L96" s="601">
        <f t="shared" si="44"/>
        <v>896218.08169206337</v>
      </c>
      <c r="M96" s="601">
        <f t="shared" si="46"/>
        <v>9253520.1329091359</v>
      </c>
      <c r="N96" s="601">
        <f t="shared" si="41"/>
        <v>432072740.24949205</v>
      </c>
      <c r="O96" s="690">
        <v>1827152.7000000002</v>
      </c>
      <c r="P96" s="601">
        <f t="shared" si="42"/>
        <v>1857483.4348200001</v>
      </c>
      <c r="Q96" s="657"/>
      <c r="R96" s="653"/>
      <c r="S96" s="657"/>
      <c r="T96" s="657"/>
      <c r="U96" s="653"/>
      <c r="V96" s="488"/>
      <c r="W96" s="657"/>
      <c r="X96" s="653"/>
      <c r="Y96" s="488"/>
    </row>
    <row r="97" spans="1:25" ht="13">
      <c r="A97" s="648">
        <f t="shared" si="31"/>
        <v>71</v>
      </c>
      <c r="C97" s="631" t="str">
        <f>C66</f>
        <v>October</v>
      </c>
      <c r="D97" s="914">
        <v>2021</v>
      </c>
      <c r="E97" s="659">
        <v>9400820.2422997952</v>
      </c>
      <c r="F97" s="659">
        <v>0</v>
      </c>
      <c r="G97" s="651">
        <f t="shared" si="38"/>
        <v>705061.51817248459</v>
      </c>
      <c r="H97" s="601">
        <f t="shared" si="39"/>
        <v>808470.54083778232</v>
      </c>
      <c r="I97" s="651">
        <f t="shared" si="43"/>
        <v>9297411.2196344975</v>
      </c>
      <c r="J97" s="651">
        <f t="shared" si="40"/>
        <v>278922.33658903494</v>
      </c>
      <c r="K97" s="601">
        <f t="shared" si="45"/>
        <v>450902593.93862468</v>
      </c>
      <c r="L97" s="601">
        <f t="shared" si="44"/>
        <v>936167.03070889774</v>
      </c>
      <c r="M97" s="601">
        <f t="shared" si="46"/>
        <v>10189687.163618034</v>
      </c>
      <c r="N97" s="601">
        <f t="shared" si="41"/>
        <v>440712906.77500665</v>
      </c>
      <c r="O97" s="690">
        <v>1827152.7000000002</v>
      </c>
      <c r="P97" s="601">
        <f>O97*(1-$E$107)*(1+$E$103+$E$111)</f>
        <v>1857483.4348200001</v>
      </c>
      <c r="Q97" s="657"/>
      <c r="R97" s="653"/>
      <c r="S97" s="657"/>
      <c r="T97" s="657"/>
      <c r="U97" s="653"/>
      <c r="V97" s="488"/>
      <c r="W97" s="657"/>
      <c r="X97" s="653"/>
      <c r="Y97" s="488"/>
    </row>
    <row r="98" spans="1:25" ht="13">
      <c r="A98" s="648">
        <f t="shared" si="31"/>
        <v>72</v>
      </c>
      <c r="C98" s="631" t="str">
        <f>C67</f>
        <v>November</v>
      </c>
      <c r="D98" s="914">
        <v>2021</v>
      </c>
      <c r="E98" s="659">
        <v>9400820.2422997952</v>
      </c>
      <c r="F98" s="659">
        <v>0</v>
      </c>
      <c r="G98" s="651">
        <f t="shared" si="38"/>
        <v>705061.51817248459</v>
      </c>
      <c r="H98" s="601">
        <f t="shared" si="39"/>
        <v>808470.54083778232</v>
      </c>
      <c r="I98" s="651">
        <f t="shared" si="43"/>
        <v>9297411.2196344975</v>
      </c>
      <c r="J98" s="651">
        <f t="shared" si="40"/>
        <v>278922.33658903494</v>
      </c>
      <c r="K98" s="601">
        <f t="shared" si="45"/>
        <v>460478927.49484819</v>
      </c>
      <c r="L98" s="601">
        <f t="shared" si="44"/>
        <v>956480.90857023268</v>
      </c>
      <c r="M98" s="601">
        <f t="shared" si="46"/>
        <v>11146168.072188266</v>
      </c>
      <c r="N98" s="601">
        <f t="shared" si="41"/>
        <v>449332759.42265993</v>
      </c>
      <c r="O98" s="690">
        <v>1827152.7000000002</v>
      </c>
      <c r="P98" s="601">
        <f>O98*(1-$E$107)*(1+$E$103+$E$111)</f>
        <v>1857483.4348200001</v>
      </c>
      <c r="Q98" s="657"/>
      <c r="R98" s="653"/>
      <c r="S98" s="657"/>
      <c r="T98" s="657"/>
      <c r="U98" s="653"/>
      <c r="V98" s="488"/>
      <c r="W98" s="657"/>
      <c r="X98" s="653"/>
      <c r="Y98" s="488"/>
    </row>
    <row r="99" spans="1:25" ht="13">
      <c r="A99" s="648">
        <f t="shared" si="31"/>
        <v>73</v>
      </c>
      <c r="C99" s="631" t="str">
        <f>C68</f>
        <v>December</v>
      </c>
      <c r="D99" s="914">
        <v>2021</v>
      </c>
      <c r="E99" s="659">
        <v>36249740.682299793</v>
      </c>
      <c r="F99" s="659">
        <v>368897.15999999968</v>
      </c>
      <c r="G99" s="651">
        <f>(E99-F99)*$E$103</f>
        <v>2691063.2641724846</v>
      </c>
      <c r="H99" s="601">
        <f t="shared" si="39"/>
        <v>3085752.5429177829</v>
      </c>
      <c r="I99" s="651">
        <f t="shared" si="43"/>
        <v>35486154.243554503</v>
      </c>
      <c r="J99" s="651">
        <f t="shared" si="40"/>
        <v>1064584.627306635</v>
      </c>
      <c r="K99" s="601">
        <f t="shared" si="45"/>
        <v>497398563.52570933</v>
      </c>
      <c r="L99" s="601">
        <f t="shared" si="44"/>
        <v>976794.78643156739</v>
      </c>
      <c r="M99" s="601">
        <f t="shared" si="46"/>
        <v>12122962.858619833</v>
      </c>
      <c r="N99" s="601">
        <f t="shared" si="41"/>
        <v>485275600.66708952</v>
      </c>
      <c r="O99" s="690">
        <v>1827152.7000000002</v>
      </c>
      <c r="P99" s="601">
        <f>O99*(1-$E$107)*(1+$E$103+$E$111)</f>
        <v>1857483.4348200001</v>
      </c>
      <c r="Q99" s="657"/>
      <c r="R99" s="653"/>
      <c r="S99" s="657"/>
      <c r="T99" s="657"/>
      <c r="U99" s="653"/>
      <c r="V99" s="488"/>
      <c r="W99" s="657"/>
      <c r="X99" s="653"/>
      <c r="Y99" s="488"/>
    </row>
    <row r="100" spans="1:25" ht="13">
      <c r="A100" s="647"/>
      <c r="O100" s="653"/>
    </row>
    <row r="101" spans="1:25" ht="13">
      <c r="A101" s="647"/>
      <c r="B101" s="603" t="s">
        <v>1919</v>
      </c>
      <c r="G101" s="604"/>
    </row>
    <row r="102" spans="1:25" ht="13">
      <c r="A102" s="649" t="s">
        <v>330</v>
      </c>
      <c r="B102" s="604"/>
      <c r="F102" s="693"/>
    </row>
    <row r="103" spans="1:25" ht="13">
      <c r="A103" s="647">
        <f>A99+1</f>
        <v>74</v>
      </c>
      <c r="C103" s="660" t="s">
        <v>1911</v>
      </c>
      <c r="E103" s="661">
        <v>7.4999999999999997E-2</v>
      </c>
    </row>
    <row r="105" spans="1:25" ht="13">
      <c r="A105" s="647"/>
      <c r="B105" s="603" t="s">
        <v>1921</v>
      </c>
    </row>
    <row r="106" spans="1:25" ht="13">
      <c r="A106" s="649" t="s">
        <v>330</v>
      </c>
      <c r="F106" s="693"/>
    </row>
    <row r="107" spans="1:25" ht="13">
      <c r="A107" s="647">
        <f>A103+1</f>
        <v>75</v>
      </c>
      <c r="B107" s="603"/>
      <c r="C107" s="600" t="s">
        <v>1912</v>
      </c>
      <c r="E107" s="661">
        <v>0.08</v>
      </c>
    </row>
    <row r="108" spans="1:25" ht="13">
      <c r="A108" s="647"/>
      <c r="B108" s="604"/>
      <c r="C108" s="600"/>
    </row>
    <row r="109" spans="1:25" ht="13">
      <c r="B109" s="603" t="s">
        <v>1922</v>
      </c>
    </row>
    <row r="110" spans="1:25" ht="13">
      <c r="A110" s="649" t="s">
        <v>330</v>
      </c>
      <c r="B110" s="604"/>
      <c r="F110" s="693"/>
    </row>
    <row r="111" spans="1:25" ht="13">
      <c r="A111" s="647">
        <f>A107+1</f>
        <v>76</v>
      </c>
      <c r="C111" s="600" t="s">
        <v>1913</v>
      </c>
      <c r="E111" s="661">
        <v>0.03</v>
      </c>
    </row>
    <row r="113" spans="1:9" ht="13">
      <c r="B113" s="603" t="s">
        <v>1920</v>
      </c>
    </row>
    <row r="114" spans="1:9" s="643" customFormat="1" ht="13">
      <c r="C114" s="655" t="s">
        <v>1961</v>
      </c>
      <c r="F114" s="662"/>
    </row>
    <row r="115" spans="1:9" s="647" customFormat="1" ht="13">
      <c r="B115" s="643" t="s">
        <v>359</v>
      </c>
      <c r="C115" s="643" t="s">
        <v>343</v>
      </c>
      <c r="D115" s="643" t="s">
        <v>344</v>
      </c>
      <c r="E115" s="643" t="s">
        <v>345</v>
      </c>
      <c r="F115" s="643"/>
    </row>
    <row r="116" spans="1:9" s="643" customFormat="1" ht="13">
      <c r="C116" s="647" t="s">
        <v>180</v>
      </c>
      <c r="D116" s="650"/>
      <c r="E116" s="951" t="s">
        <v>1914</v>
      </c>
      <c r="F116" s="650"/>
    </row>
    <row r="117" spans="1:9" ht="13">
      <c r="A117" s="647"/>
      <c r="B117" s="647"/>
      <c r="C117" s="647" t="str">
        <f>"Prior Year"</f>
        <v>Prior Year</v>
      </c>
      <c r="D117" s="648" t="s">
        <v>1915</v>
      </c>
      <c r="E117" s="648" t="s">
        <v>1339</v>
      </c>
      <c r="F117" s="648" t="s">
        <v>2035</v>
      </c>
    </row>
    <row r="118" spans="1:9" ht="13">
      <c r="A118" s="643" t="s">
        <v>330</v>
      </c>
      <c r="B118" s="643" t="s">
        <v>1841</v>
      </c>
      <c r="C118" s="643" t="s">
        <v>1916</v>
      </c>
      <c r="D118" s="650" t="s">
        <v>13</v>
      </c>
      <c r="E118" s="650" t="s">
        <v>1915</v>
      </c>
      <c r="F118" s="123" t="s">
        <v>205</v>
      </c>
    </row>
    <row r="119" spans="1:9" ht="13">
      <c r="A119" s="647">
        <f>A111+1</f>
        <v>77</v>
      </c>
      <c r="B119" s="647">
        <v>350.1</v>
      </c>
      <c r="C119" s="694">
        <f>'17-Depreciation'!C24</f>
        <v>88722949.825873926</v>
      </c>
      <c r="D119" s="952">
        <f>'18-DepRates'!G6</f>
        <v>0</v>
      </c>
      <c r="E119" s="953">
        <f>C119*D119</f>
        <v>0</v>
      </c>
      <c r="F119" s="954" t="s">
        <v>2036</v>
      </c>
      <c r="H119" s="694"/>
      <c r="I119" s="692"/>
    </row>
    <row r="120" spans="1:9" ht="13">
      <c r="A120" s="647">
        <f>A119+1</f>
        <v>78</v>
      </c>
      <c r="B120" s="647">
        <v>350.2</v>
      </c>
      <c r="C120" s="694">
        <f>'17-Depreciation'!D24</f>
        <v>165732565.69245622</v>
      </c>
      <c r="D120" s="952">
        <f>'18-DepRates'!G7</f>
        <v>1.66E-2</v>
      </c>
      <c r="E120" s="953">
        <f t="shared" ref="E120:E128" si="47">C120*D120</f>
        <v>2751160.5904947734</v>
      </c>
      <c r="F120" s="954" t="s">
        <v>2037</v>
      </c>
      <c r="H120" s="694"/>
      <c r="I120" s="692"/>
    </row>
    <row r="121" spans="1:9" ht="13">
      <c r="A121" s="647">
        <f t="shared" ref="A121:A133" si="48">A120+1</f>
        <v>79</v>
      </c>
      <c r="B121" s="647">
        <v>352</v>
      </c>
      <c r="C121" s="694">
        <f>'17-Depreciation'!E24</f>
        <v>741230571.26955175</v>
      </c>
      <c r="D121" s="952">
        <f>'18-DepRates'!G8</f>
        <v>2.5700000000000001E-2</v>
      </c>
      <c r="E121" s="953">
        <f t="shared" si="47"/>
        <v>19049625.681627482</v>
      </c>
      <c r="F121" s="954" t="s">
        <v>2038</v>
      </c>
      <c r="H121" s="694"/>
      <c r="I121" s="692"/>
    </row>
    <row r="122" spans="1:9" ht="13">
      <c r="A122" s="647">
        <f t="shared" si="48"/>
        <v>80</v>
      </c>
      <c r="B122" s="647">
        <v>353</v>
      </c>
      <c r="C122" s="694">
        <f>'17-Depreciation'!F24</f>
        <v>3714934155.6737089</v>
      </c>
      <c r="D122" s="952">
        <f>'18-DepRates'!G9</f>
        <v>2.47E-2</v>
      </c>
      <c r="E122" s="953">
        <f t="shared" si="47"/>
        <v>91758873.645140603</v>
      </c>
      <c r="F122" s="954" t="s">
        <v>2039</v>
      </c>
      <c r="H122" s="694"/>
      <c r="I122" s="692"/>
    </row>
    <row r="123" spans="1:9" ht="13">
      <c r="A123" s="647">
        <f t="shared" si="48"/>
        <v>81</v>
      </c>
      <c r="B123" s="647">
        <v>354</v>
      </c>
      <c r="C123" s="694">
        <f>'17-Depreciation'!G24</f>
        <v>2305124777.8401799</v>
      </c>
      <c r="D123" s="952">
        <f>'18-DepRates'!G10</f>
        <v>2.4400000000000002E-2</v>
      </c>
      <c r="E123" s="953">
        <f t="shared" si="47"/>
        <v>56245044.579300396</v>
      </c>
      <c r="F123" s="954" t="s">
        <v>2040</v>
      </c>
      <c r="H123" s="694"/>
      <c r="I123" s="692"/>
    </row>
    <row r="124" spans="1:9" ht="13">
      <c r="A124" s="647">
        <f t="shared" si="48"/>
        <v>82</v>
      </c>
      <c r="B124" s="647">
        <v>355</v>
      </c>
      <c r="C124" s="694">
        <f>'17-Depreciation'!H24</f>
        <v>408001019.0888837</v>
      </c>
      <c r="D124" s="952">
        <f>'18-DepRates'!G11</f>
        <v>3.6700000000000003E-2</v>
      </c>
      <c r="E124" s="953">
        <f t="shared" si="47"/>
        <v>14973637.400562033</v>
      </c>
      <c r="F124" s="954" t="s">
        <v>2041</v>
      </c>
      <c r="H124" s="694"/>
      <c r="I124" s="692"/>
    </row>
    <row r="125" spans="1:9" ht="13">
      <c r="A125" s="647">
        <f t="shared" si="48"/>
        <v>83</v>
      </c>
      <c r="B125" s="647">
        <v>356</v>
      </c>
      <c r="C125" s="694">
        <f>'17-Depreciation'!I24</f>
        <v>1408013215.7482004</v>
      </c>
      <c r="D125" s="952">
        <f>'18-DepRates'!G12</f>
        <v>3.0499999999999999E-2</v>
      </c>
      <c r="E125" s="953">
        <f t="shared" si="47"/>
        <v>42944403.080320112</v>
      </c>
      <c r="F125" s="954" t="s">
        <v>2042</v>
      </c>
      <c r="H125" s="694"/>
      <c r="I125" s="692"/>
    </row>
    <row r="126" spans="1:9" ht="13">
      <c r="A126" s="647">
        <f t="shared" si="48"/>
        <v>84</v>
      </c>
      <c r="B126" s="647">
        <v>357</v>
      </c>
      <c r="C126" s="694">
        <f>'17-Depreciation'!J24</f>
        <v>215368701.52640039</v>
      </c>
      <c r="D126" s="952">
        <f>'18-DepRates'!G13</f>
        <v>1.6500000000000001E-2</v>
      </c>
      <c r="E126" s="953">
        <f t="shared" si="47"/>
        <v>3553583.5751856067</v>
      </c>
      <c r="F126" s="954" t="s">
        <v>2043</v>
      </c>
      <c r="H126" s="694"/>
      <c r="I126" s="692"/>
    </row>
    <row r="127" spans="1:9" ht="13">
      <c r="A127" s="647">
        <f t="shared" si="48"/>
        <v>85</v>
      </c>
      <c r="B127" s="647">
        <v>358</v>
      </c>
      <c r="C127" s="694">
        <f>'17-Depreciation'!K24</f>
        <v>59251565.606308758</v>
      </c>
      <c r="D127" s="952">
        <f>'18-DepRates'!G14</f>
        <v>3.8699999999999998E-2</v>
      </c>
      <c r="E127" s="953">
        <f t="shared" si="47"/>
        <v>2293035.5889641489</v>
      </c>
      <c r="F127" s="954" t="s">
        <v>2044</v>
      </c>
      <c r="H127" s="694"/>
      <c r="I127" s="692"/>
    </row>
    <row r="128" spans="1:9" ht="13">
      <c r="A128" s="647">
        <f t="shared" si="48"/>
        <v>86</v>
      </c>
      <c r="B128" s="647">
        <v>359</v>
      </c>
      <c r="C128" s="694">
        <f>'17-Depreciation'!L24</f>
        <v>179151598.49303469</v>
      </c>
      <c r="D128" s="952">
        <f>'18-DepRates'!G15</f>
        <v>1.5599999999999999E-2</v>
      </c>
      <c r="E128" s="953">
        <f t="shared" si="47"/>
        <v>2794764.9364913409</v>
      </c>
      <c r="F128" s="954" t="s">
        <v>2045</v>
      </c>
      <c r="H128" s="694"/>
      <c r="I128" s="692"/>
    </row>
    <row r="129" spans="1:9" ht="13">
      <c r="A129" s="647">
        <f t="shared" si="48"/>
        <v>87</v>
      </c>
    </row>
    <row r="130" spans="1:9" ht="13">
      <c r="A130" s="647">
        <f t="shared" si="48"/>
        <v>88</v>
      </c>
      <c r="C130" s="663" t="s">
        <v>1917</v>
      </c>
      <c r="E130" s="695">
        <f>SUM(E119:E128)</f>
        <v>236364129.0780865</v>
      </c>
      <c r="F130" s="640" t="str">
        <f>"Sum of C"&amp;RIGHT(E115)&amp;" Lines "&amp;A119&amp;" to "&amp;A128</f>
        <v>Sum of C4 Lines 77 to 86</v>
      </c>
    </row>
    <row r="131" spans="1:9" ht="13">
      <c r="A131" s="647">
        <f t="shared" si="48"/>
        <v>89</v>
      </c>
      <c r="C131" s="640" t="str">
        <f>"Sum of Dec Prior Year Plant"</f>
        <v>Sum of Dec Prior Year Plant</v>
      </c>
      <c r="E131" s="696">
        <f>SUM(C119:C128)</f>
        <v>9285531120.7645969</v>
      </c>
      <c r="F131" s="640" t="str">
        <f>"Sum of C"&amp;RIGHT(C115)&amp;" Lines "&amp;A119&amp;" to "&amp;A128</f>
        <v>Sum of C2 Lines 77 to 86</v>
      </c>
    </row>
    <row r="132" spans="1:9" ht="13">
      <c r="A132" s="647">
        <f t="shared" si="48"/>
        <v>90</v>
      </c>
    </row>
    <row r="133" spans="1:9" ht="13">
      <c r="A133" s="647">
        <f t="shared" si="48"/>
        <v>91</v>
      </c>
      <c r="C133" s="640" t="s">
        <v>1918</v>
      </c>
      <c r="E133" s="664">
        <f>E130/E131</f>
        <v>2.5455100629572128E-2</v>
      </c>
      <c r="F133" s="640" t="str">
        <f>"Line "&amp;A130&amp;" / Line "&amp;A131</f>
        <v>Line 88 / Line 89</v>
      </c>
    </row>
    <row r="134" spans="1:9" ht="13">
      <c r="A134" s="647"/>
    </row>
    <row r="135" spans="1:9" ht="13">
      <c r="A135" s="647"/>
      <c r="B135" s="639" t="s">
        <v>230</v>
      </c>
      <c r="C135"/>
      <c r="D135"/>
      <c r="E135"/>
      <c r="F135"/>
      <c r="G135"/>
      <c r="H135"/>
      <c r="I135"/>
    </row>
    <row r="136" spans="1:9" ht="13">
      <c r="A136" s="647"/>
      <c r="B136" s="634" t="s">
        <v>2066</v>
      </c>
      <c r="C136" s="671"/>
      <c r="D136" s="671"/>
      <c r="E136" s="671"/>
      <c r="F136" s="671"/>
      <c r="G136" s="671"/>
      <c r="H136" s="671"/>
      <c r="I136" s="671"/>
    </row>
    <row r="137" spans="1:9" ht="13">
      <c r="A137" s="647"/>
      <c r="B137" s="634" t="s">
        <v>2076</v>
      </c>
      <c r="C137"/>
      <c r="D137"/>
      <c r="E137"/>
      <c r="F137"/>
      <c r="G137"/>
      <c r="H137"/>
      <c r="I137"/>
    </row>
    <row r="138" spans="1:9" ht="13">
      <c r="A138" s="647"/>
    </row>
    <row r="139" spans="1:9" ht="13">
      <c r="A139" s="647"/>
    </row>
    <row r="140" spans="1:9" ht="13">
      <c r="A140" s="647"/>
    </row>
    <row r="141" spans="1:9" ht="13">
      <c r="A141" s="647"/>
    </row>
    <row r="142" spans="1:9" ht="13">
      <c r="A142" s="647"/>
    </row>
    <row r="143" spans="1:9" ht="13">
      <c r="A143" s="647"/>
    </row>
    <row r="144" spans="1:9" ht="13">
      <c r="A144" s="647"/>
    </row>
    <row r="145" spans="1:1" ht="13">
      <c r="A145" s="647"/>
    </row>
    <row r="146" spans="1:1" ht="13">
      <c r="A146" s="647"/>
    </row>
    <row r="147" spans="1:1" ht="13">
      <c r="A147" s="647"/>
    </row>
    <row r="148" spans="1:1" ht="13">
      <c r="A148" s="647"/>
    </row>
    <row r="149" spans="1:1" ht="13">
      <c r="A149" s="647"/>
    </row>
    <row r="150" spans="1:1" ht="13">
      <c r="A150" s="647"/>
    </row>
    <row r="151" spans="1:1" ht="13">
      <c r="A151" s="647"/>
    </row>
    <row r="152" spans="1:1" ht="13">
      <c r="A152" s="647"/>
    </row>
    <row r="153" spans="1:1" ht="13">
      <c r="A153" s="647"/>
    </row>
    <row r="154" spans="1:1" ht="13">
      <c r="A154" s="647"/>
    </row>
    <row r="155" spans="1:1" ht="13">
      <c r="A155" s="647"/>
    </row>
    <row r="156" spans="1:1" ht="13">
      <c r="A156" s="647"/>
    </row>
    <row r="157" spans="1:1" ht="13">
      <c r="A157" s="647"/>
    </row>
    <row r="158" spans="1:1" ht="13">
      <c r="A158" s="647"/>
    </row>
    <row r="159" spans="1:1" ht="13">
      <c r="A159" s="647"/>
    </row>
    <row r="160" spans="1:1" ht="13">
      <c r="A160" s="647"/>
    </row>
    <row r="161" spans="1:1" ht="13">
      <c r="A161" s="647"/>
    </row>
    <row r="162" spans="1:1" ht="13">
      <c r="A162" s="647"/>
    </row>
    <row r="163" spans="1:1" ht="13">
      <c r="A163" s="647"/>
    </row>
    <row r="164" spans="1:1" ht="13">
      <c r="A164" s="647"/>
    </row>
    <row r="165" spans="1:1" ht="13">
      <c r="A165" s="647"/>
    </row>
    <row r="166" spans="1:1" ht="13">
      <c r="A166" s="647"/>
    </row>
    <row r="167" spans="1:1" ht="13">
      <c r="A167" s="647"/>
    </row>
    <row r="168" spans="1:1" ht="13">
      <c r="A168" s="647"/>
    </row>
    <row r="169" spans="1:1" ht="13">
      <c r="A169" s="647"/>
    </row>
    <row r="170" spans="1:1" ht="13">
      <c r="A170" s="647"/>
    </row>
    <row r="171" spans="1:1" ht="13">
      <c r="A171" s="647"/>
    </row>
    <row r="172" spans="1:1" ht="13">
      <c r="A172" s="647"/>
    </row>
    <row r="173" spans="1:1" ht="13">
      <c r="A173" s="647"/>
    </row>
    <row r="174" spans="1:1" ht="13">
      <c r="A174" s="647"/>
    </row>
    <row r="175" spans="1:1" ht="13">
      <c r="A175" s="647"/>
    </row>
    <row r="176" spans="1:1" ht="13">
      <c r="A176" s="647"/>
    </row>
    <row r="177" spans="1:1" ht="13">
      <c r="A177" s="647"/>
    </row>
    <row r="178" spans="1:1" ht="13">
      <c r="A178" s="647"/>
    </row>
    <row r="179" spans="1:1" ht="13">
      <c r="A179" s="647"/>
    </row>
    <row r="180" spans="1:1" ht="13">
      <c r="A180" s="647"/>
    </row>
    <row r="181" spans="1:1" ht="13">
      <c r="A181" s="647"/>
    </row>
    <row r="182" spans="1:1" ht="13">
      <c r="A182" s="647"/>
    </row>
    <row r="183" spans="1:1" ht="13">
      <c r="A183" s="647"/>
    </row>
    <row r="184" spans="1:1" ht="13">
      <c r="A184" s="647"/>
    </row>
    <row r="185" spans="1:1" ht="13">
      <c r="A185" s="647"/>
    </row>
    <row r="186" spans="1:1" ht="13">
      <c r="A186" s="647"/>
    </row>
    <row r="187" spans="1:1" ht="13">
      <c r="A187" s="647"/>
    </row>
    <row r="188" spans="1:1" ht="13">
      <c r="A188" s="647"/>
    </row>
    <row r="189" spans="1:1" ht="13">
      <c r="A189" s="647"/>
    </row>
    <row r="190" spans="1:1" ht="13">
      <c r="A190" s="647"/>
    </row>
    <row r="191" spans="1:1" ht="13">
      <c r="A191" s="647"/>
    </row>
    <row r="192" spans="1:1" ht="13">
      <c r="A192" s="647"/>
    </row>
    <row r="193" spans="1:1" ht="13">
      <c r="A193" s="647"/>
    </row>
    <row r="194" spans="1:1" ht="13">
      <c r="A194" s="647"/>
    </row>
    <row r="195" spans="1:1" ht="13">
      <c r="A195" s="647"/>
    </row>
    <row r="196" spans="1:1" ht="13">
      <c r="A196" s="647"/>
    </row>
    <row r="197" spans="1:1" ht="13">
      <c r="A197" s="647"/>
    </row>
    <row r="198" spans="1:1" ht="13">
      <c r="A198" s="647"/>
    </row>
    <row r="199" spans="1:1" ht="13">
      <c r="A199" s="647"/>
    </row>
    <row r="200" spans="1:1" ht="13">
      <c r="A200" s="647"/>
    </row>
    <row r="201" spans="1:1" ht="13">
      <c r="A201" s="647"/>
    </row>
    <row r="202" spans="1:1" ht="13">
      <c r="A202" s="647"/>
    </row>
    <row r="203" spans="1:1" ht="13">
      <c r="A203" s="647"/>
    </row>
    <row r="204" spans="1:1" ht="13">
      <c r="A204" s="647"/>
    </row>
  </sheetData>
  <pageMargins left="0.7" right="0.7" top="0.75" bottom="0.75" header="0.3" footer="0.3"/>
  <pageSetup scale="52" orientation="landscape" cellComments="asDisplayed" r:id="rId1"/>
  <headerFooter>
    <oddHeader>&amp;CSchedule 16
Plant Additions
&amp;RTO2021  Annual Update
Attachment 5
TO2018 True Up TRR</oddHeader>
    <oddFooter>&amp;R16-PlantAdditions</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80" workbookViewId="0"/>
  </sheetViews>
  <sheetFormatPr defaultRowHeight="12.5"/>
  <cols>
    <col min="1" max="1" width="4.54296875" customWidth="1"/>
    <col min="3" max="5" width="14.54296875" customWidth="1"/>
    <col min="6" max="6" width="15.54296875" customWidth="1"/>
    <col min="7" max="13" width="14.54296875" customWidth="1"/>
  </cols>
  <sheetData>
    <row r="1" spans="1:13" ht="13">
      <c r="A1" s="1" t="s">
        <v>250</v>
      </c>
      <c r="B1" s="230"/>
      <c r="C1" s="230"/>
      <c r="D1" s="230"/>
      <c r="E1" s="230"/>
      <c r="F1" s="230"/>
      <c r="G1" s="230"/>
      <c r="H1" s="230"/>
      <c r="I1" s="517" t="s">
        <v>447</v>
      </c>
      <c r="J1" s="184"/>
      <c r="K1" s="230"/>
      <c r="L1" s="230"/>
      <c r="M1" s="230"/>
    </row>
    <row r="2" spans="1:13">
      <c r="A2" s="230"/>
      <c r="B2" s="230"/>
      <c r="C2" s="230"/>
      <c r="D2" s="230"/>
      <c r="E2" s="230"/>
      <c r="F2" s="230"/>
      <c r="G2" s="230"/>
      <c r="H2" s="230"/>
      <c r="K2" s="230"/>
      <c r="L2" s="230"/>
      <c r="M2" s="230"/>
    </row>
    <row r="3" spans="1:13" ht="13">
      <c r="A3" s="230"/>
      <c r="B3" s="1" t="s">
        <v>969</v>
      </c>
      <c r="C3" s="230"/>
      <c r="D3" s="230"/>
      <c r="E3" s="230"/>
      <c r="F3" s="230"/>
      <c r="G3" s="230"/>
      <c r="H3" s="239"/>
      <c r="I3" s="935" t="s">
        <v>1724</v>
      </c>
      <c r="J3" s="395">
        <v>2019</v>
      </c>
      <c r="K3" s="230"/>
      <c r="L3" s="230"/>
      <c r="M3" s="230"/>
    </row>
    <row r="4" spans="1:13">
      <c r="A4" s="230"/>
      <c r="B4" s="230"/>
      <c r="C4" s="230"/>
      <c r="D4" s="230"/>
      <c r="E4" s="230"/>
      <c r="F4" s="230"/>
      <c r="G4" s="230"/>
      <c r="H4" s="239"/>
      <c r="I4" s="239"/>
      <c r="J4" s="230"/>
      <c r="K4" s="230"/>
      <c r="L4" s="230"/>
      <c r="M4" s="230"/>
    </row>
    <row r="5" spans="1:13" ht="13">
      <c r="A5" s="230"/>
      <c r="B5" s="476" t="s">
        <v>972</v>
      </c>
      <c r="C5" s="230"/>
      <c r="D5" s="230"/>
      <c r="E5" s="230"/>
      <c r="F5" s="230"/>
      <c r="G5" s="230"/>
      <c r="H5" s="478" t="s">
        <v>1778</v>
      </c>
      <c r="I5" s="239"/>
      <c r="J5" s="230"/>
      <c r="K5" s="230"/>
      <c r="L5" s="230"/>
      <c r="M5" s="230"/>
    </row>
    <row r="6" spans="1:13">
      <c r="A6" s="230"/>
      <c r="B6" s="230"/>
      <c r="C6" s="230"/>
      <c r="D6" s="230"/>
      <c r="E6" s="230"/>
      <c r="F6" s="230"/>
      <c r="G6" s="230"/>
      <c r="H6" s="230"/>
      <c r="I6" s="230"/>
      <c r="J6" s="230"/>
      <c r="K6" s="230"/>
      <c r="L6" s="230"/>
      <c r="M6" s="230"/>
    </row>
    <row r="7" spans="1:13" ht="13">
      <c r="A7" s="230"/>
      <c r="B7" s="84" t="s">
        <v>359</v>
      </c>
      <c r="C7" s="84" t="s">
        <v>343</v>
      </c>
      <c r="D7" s="84" t="s">
        <v>344</v>
      </c>
      <c r="E7" s="84" t="s">
        <v>345</v>
      </c>
      <c r="F7" s="84" t="s">
        <v>346</v>
      </c>
      <c r="G7" s="84" t="s">
        <v>347</v>
      </c>
      <c r="H7" s="84" t="s">
        <v>348</v>
      </c>
      <c r="I7" s="84" t="s">
        <v>537</v>
      </c>
      <c r="J7" s="84" t="s">
        <v>954</v>
      </c>
      <c r="K7" s="84" t="s">
        <v>967</v>
      </c>
      <c r="L7" s="84" t="s">
        <v>970</v>
      </c>
      <c r="M7" s="84" t="s">
        <v>988</v>
      </c>
    </row>
    <row r="8" spans="1:13">
      <c r="A8" s="230"/>
      <c r="B8" s="247"/>
      <c r="C8" s="230"/>
      <c r="D8" s="230"/>
      <c r="E8" s="230"/>
      <c r="F8" s="230"/>
      <c r="G8" s="230"/>
      <c r="H8" s="230"/>
      <c r="I8" s="230"/>
      <c r="J8" s="230"/>
      <c r="K8" s="230"/>
      <c r="L8" s="230"/>
      <c r="M8" s="230"/>
    </row>
    <row r="9" spans="1:13" ht="13">
      <c r="A9" s="230"/>
      <c r="B9" s="109"/>
      <c r="C9" s="518" t="s">
        <v>12</v>
      </c>
      <c r="D9" s="230"/>
      <c r="E9" s="230"/>
      <c r="F9" s="230"/>
      <c r="G9" s="230"/>
      <c r="H9" s="230"/>
      <c r="I9" s="230"/>
      <c r="J9" s="230"/>
      <c r="K9" s="230"/>
      <c r="L9" s="230"/>
      <c r="M9" s="230"/>
    </row>
    <row r="10" spans="1:13" ht="13">
      <c r="A10" s="230"/>
      <c r="B10" s="109"/>
      <c r="C10" s="518" t="s">
        <v>968</v>
      </c>
      <c r="D10" s="230"/>
      <c r="E10" s="230"/>
      <c r="F10" s="230"/>
      <c r="G10" s="230"/>
      <c r="H10" s="230"/>
      <c r="I10" s="230"/>
      <c r="J10" s="230"/>
      <c r="K10" s="230"/>
      <c r="L10" s="230"/>
      <c r="M10" s="230"/>
    </row>
    <row r="11" spans="1:13" ht="13">
      <c r="A11" s="51" t="s">
        <v>330</v>
      </c>
      <c r="B11" s="123" t="s">
        <v>1760</v>
      </c>
      <c r="C11" s="84">
        <v>350.1</v>
      </c>
      <c r="D11" s="84">
        <v>350.2</v>
      </c>
      <c r="E11" s="84">
        <v>352</v>
      </c>
      <c r="F11" s="84">
        <v>353</v>
      </c>
      <c r="G11" s="84">
        <v>354</v>
      </c>
      <c r="H11" s="84">
        <v>355</v>
      </c>
      <c r="I11" s="84">
        <v>356</v>
      </c>
      <c r="J11" s="84">
        <v>357</v>
      </c>
      <c r="K11" s="84">
        <v>358</v>
      </c>
      <c r="L11" s="84">
        <v>359</v>
      </c>
      <c r="M11" s="3" t="s">
        <v>196</v>
      </c>
    </row>
    <row r="12" spans="1:13" ht="13">
      <c r="A12" s="572">
        <v>1</v>
      </c>
      <c r="B12" s="1014" t="s">
        <v>2494</v>
      </c>
      <c r="C12" s="232">
        <f>'6-PlantInService'!C11</f>
        <v>87352690.455148399</v>
      </c>
      <c r="D12" s="232">
        <f>'6-PlantInService'!D11</f>
        <v>165261946.55087399</v>
      </c>
      <c r="E12" s="232">
        <f>'6-PlantInService'!E11</f>
        <v>643675309.98467612</v>
      </c>
      <c r="F12" s="232">
        <f>'6-PlantInService'!F11</f>
        <v>3459763553.0279365</v>
      </c>
      <c r="G12" s="232">
        <f>'6-PlantInService'!G11</f>
        <v>2284709795.0439997</v>
      </c>
      <c r="H12" s="232">
        <f>'6-PlantInService'!H11</f>
        <v>386542290.96381313</v>
      </c>
      <c r="I12" s="232">
        <f>'6-PlantInService'!I11</f>
        <v>1311509387.1831667</v>
      </c>
      <c r="J12" s="232">
        <f>'6-PlantInService'!J11</f>
        <v>190891202.00003627</v>
      </c>
      <c r="K12" s="232">
        <f>'6-PlantInService'!K11</f>
        <v>83989219.000066027</v>
      </c>
      <c r="L12" s="232">
        <f>'6-PlantInService'!L11</f>
        <v>173783603.00000003</v>
      </c>
      <c r="M12" s="232">
        <f>'6-PlantInService'!M11</f>
        <v>8787478997.2097168</v>
      </c>
    </row>
    <row r="13" spans="1:13" ht="13">
      <c r="A13" s="572">
        <f>A12+1</f>
        <v>2</v>
      </c>
      <c r="B13" s="1014" t="s">
        <v>2607</v>
      </c>
      <c r="C13" s="232">
        <f>'6-PlantInService'!C12</f>
        <v>87356155.797575638</v>
      </c>
      <c r="D13" s="232">
        <f>'6-PlantInService'!D12</f>
        <v>165217772.22775602</v>
      </c>
      <c r="E13" s="232">
        <f>'6-PlantInService'!E12</f>
        <v>646001649.72808814</v>
      </c>
      <c r="F13" s="232">
        <f>'6-PlantInService'!F12</f>
        <v>3462904493.8507605</v>
      </c>
      <c r="G13" s="232">
        <f>'6-PlantInService'!G12</f>
        <v>2273515090.3975925</v>
      </c>
      <c r="H13" s="232">
        <f>'6-PlantInService'!H12</f>
        <v>392609454.77819699</v>
      </c>
      <c r="I13" s="232">
        <f>'6-PlantInService'!I12</f>
        <v>1319770640.9577789</v>
      </c>
      <c r="J13" s="232">
        <f>'6-PlantInService'!J12</f>
        <v>190887474.38222408</v>
      </c>
      <c r="K13" s="232">
        <f>'6-PlantInService'!K12</f>
        <v>83987440.191650137</v>
      </c>
      <c r="L13" s="232">
        <f>'6-PlantInService'!L12</f>
        <v>173793754.13508439</v>
      </c>
      <c r="M13" s="232">
        <f>'6-PlantInService'!M12</f>
        <v>8796043926.4467068</v>
      </c>
    </row>
    <row r="14" spans="1:13" ht="13">
      <c r="A14" s="572">
        <f t="shared" ref="A14:A76" si="0">A13+1</f>
        <v>3</v>
      </c>
      <c r="B14" s="1014" t="s">
        <v>2596</v>
      </c>
      <c r="C14" s="232">
        <f>'6-PlantInService'!C13</f>
        <v>87378283.397575647</v>
      </c>
      <c r="D14" s="232">
        <f>'6-PlantInService'!D13</f>
        <v>165238733.9709281</v>
      </c>
      <c r="E14" s="232">
        <f>'6-PlantInService'!E13</f>
        <v>649915490.91427851</v>
      </c>
      <c r="F14" s="232">
        <f>'6-PlantInService'!F13</f>
        <v>3463000293.5497246</v>
      </c>
      <c r="G14" s="232">
        <f>'6-PlantInService'!G13</f>
        <v>2273899913.0902042</v>
      </c>
      <c r="H14" s="232">
        <f>'6-PlantInService'!H13</f>
        <v>394544587.5583322</v>
      </c>
      <c r="I14" s="232">
        <f>'6-PlantInService'!I13</f>
        <v>1320181319.0387657</v>
      </c>
      <c r="J14" s="232">
        <f>'6-PlantInService'!J13</f>
        <v>190896528.80466503</v>
      </c>
      <c r="K14" s="232">
        <f>'6-PlantInService'!K13</f>
        <v>83991813.243796289</v>
      </c>
      <c r="L14" s="232">
        <f>'6-PlantInService'!L13</f>
        <v>173965840.29050624</v>
      </c>
      <c r="M14" s="232">
        <f>'6-PlantInService'!M13</f>
        <v>8803012803.8587761</v>
      </c>
    </row>
    <row r="15" spans="1:13" ht="13">
      <c r="A15" s="572">
        <f t="shared" si="0"/>
        <v>4</v>
      </c>
      <c r="B15" s="1014" t="s">
        <v>2597</v>
      </c>
      <c r="C15" s="232">
        <f>'6-PlantInService'!C14</f>
        <v>87422936.397575647</v>
      </c>
      <c r="D15" s="232">
        <f>'6-PlantInService'!D14</f>
        <v>165274761.31141976</v>
      </c>
      <c r="E15" s="232">
        <f>'6-PlantInService'!E14</f>
        <v>656305655.3051796</v>
      </c>
      <c r="F15" s="232">
        <f>'6-PlantInService'!F14</f>
        <v>3473399158.8300886</v>
      </c>
      <c r="G15" s="232">
        <f>'6-PlantInService'!G14</f>
        <v>2273589636.4238544</v>
      </c>
      <c r="H15" s="232">
        <f>'6-PlantInService'!H14</f>
        <v>396552950.73370737</v>
      </c>
      <c r="I15" s="232">
        <f>'6-PlantInService'!I14</f>
        <v>1322780078.999042</v>
      </c>
      <c r="J15" s="232">
        <f>'6-PlantInService'!J14</f>
        <v>190915965.14155641</v>
      </c>
      <c r="K15" s="232">
        <f>'6-PlantInService'!K14</f>
        <v>83998079.695823774</v>
      </c>
      <c r="L15" s="232">
        <f>'6-PlantInService'!L14</f>
        <v>176594549.02726787</v>
      </c>
      <c r="M15" s="232">
        <f>'6-PlantInService'!M14</f>
        <v>8826833771.8655167</v>
      </c>
    </row>
    <row r="16" spans="1:13" ht="13">
      <c r="A16" s="572">
        <f t="shared" si="0"/>
        <v>5</v>
      </c>
      <c r="B16" s="1014" t="s">
        <v>2598</v>
      </c>
      <c r="C16" s="232">
        <f>'6-PlantInService'!C15</f>
        <v>87480041.513463184</v>
      </c>
      <c r="D16" s="232">
        <f>'6-PlantInService'!D15</f>
        <v>165233219.62313735</v>
      </c>
      <c r="E16" s="232">
        <f>'6-PlantInService'!E15</f>
        <v>656534696.02460039</v>
      </c>
      <c r="F16" s="232">
        <f>'6-PlantInService'!F15</f>
        <v>3484806815.0543184</v>
      </c>
      <c r="G16" s="232">
        <f>'6-PlantInService'!G15</f>
        <v>2277229730.4424171</v>
      </c>
      <c r="H16" s="232">
        <f>'6-PlantInService'!H15</f>
        <v>397457164.28235877</v>
      </c>
      <c r="I16" s="232">
        <f>'6-PlantInService'!I15</f>
        <v>1339023383.3166633</v>
      </c>
      <c r="J16" s="232">
        <f>'6-PlantInService'!J15</f>
        <v>190926871.33673123</v>
      </c>
      <c r="K16" s="232">
        <f>'6-PlantInService'!K15</f>
        <v>84003482.969925135</v>
      </c>
      <c r="L16" s="232">
        <f>'6-PlantInService'!L15</f>
        <v>176656377.09970364</v>
      </c>
      <c r="M16" s="232">
        <f>'6-PlantInService'!M15</f>
        <v>8859351781.6633167</v>
      </c>
    </row>
    <row r="17" spans="1:14" ht="13">
      <c r="A17" s="572">
        <f t="shared" si="0"/>
        <v>6</v>
      </c>
      <c r="B17" s="1014" t="s">
        <v>2599</v>
      </c>
      <c r="C17" s="232">
        <f>'6-PlantInService'!C16</f>
        <v>87483624.883834735</v>
      </c>
      <c r="D17" s="232">
        <f>'6-PlantInService'!D16</f>
        <v>165268205.02870607</v>
      </c>
      <c r="E17" s="232">
        <f>'6-PlantInService'!E16</f>
        <v>660917188.50644588</v>
      </c>
      <c r="F17" s="232">
        <f>'6-PlantInService'!F16</f>
        <v>3507319640.2373776</v>
      </c>
      <c r="G17" s="232">
        <f>'6-PlantInService'!G16</f>
        <v>2278145726.7590322</v>
      </c>
      <c r="H17" s="232">
        <f>'6-PlantInService'!H16</f>
        <v>398520801.56604367</v>
      </c>
      <c r="I17" s="232">
        <f>'6-PlantInService'!I16</f>
        <v>1361310693.3430395</v>
      </c>
      <c r="J17" s="232">
        <f>'6-PlantInService'!J16</f>
        <v>190946304.73330876</v>
      </c>
      <c r="K17" s="232">
        <f>'6-PlantInService'!K16</f>
        <v>84012373.441688359</v>
      </c>
      <c r="L17" s="232">
        <f>'6-PlantInService'!L16</f>
        <v>177585902.42037222</v>
      </c>
      <c r="M17" s="232">
        <f>'6-PlantInService'!M16</f>
        <v>8911510460.9198494</v>
      </c>
    </row>
    <row r="18" spans="1:14" ht="13">
      <c r="A18" s="572">
        <f t="shared" si="0"/>
        <v>7</v>
      </c>
      <c r="B18" s="1014" t="s">
        <v>2600</v>
      </c>
      <c r="C18" s="232">
        <f>'6-PlantInService'!C17</f>
        <v>87557692.034069747</v>
      </c>
      <c r="D18" s="232">
        <f>'6-PlantInService'!D17</f>
        <v>165408136.3430278</v>
      </c>
      <c r="E18" s="232">
        <f>'6-PlantInService'!E17</f>
        <v>661485300.18819571</v>
      </c>
      <c r="F18" s="232">
        <f>'6-PlantInService'!F17</f>
        <v>3511174755.8738618</v>
      </c>
      <c r="G18" s="232">
        <f>'6-PlantInService'!G17</f>
        <v>2281853520.6046057</v>
      </c>
      <c r="H18" s="232">
        <f>'6-PlantInService'!H17</f>
        <v>399556990.00535166</v>
      </c>
      <c r="I18" s="232">
        <f>'6-PlantInService'!I17</f>
        <v>1369808901.6540136</v>
      </c>
      <c r="J18" s="232">
        <f>'6-PlantInService'!J17</f>
        <v>190952605.14374197</v>
      </c>
      <c r="K18" s="232">
        <f>'6-PlantInService'!K17</f>
        <v>84019571.495635763</v>
      </c>
      <c r="L18" s="232">
        <f>'6-PlantInService'!L17</f>
        <v>177579720.21706134</v>
      </c>
      <c r="M18" s="232">
        <f>'6-PlantInService'!M17</f>
        <v>8929397193.5595665</v>
      </c>
    </row>
    <row r="19" spans="1:14" ht="13">
      <c r="A19" s="572">
        <f t="shared" si="0"/>
        <v>8</v>
      </c>
      <c r="B19" s="1014" t="s">
        <v>2601</v>
      </c>
      <c r="C19" s="232">
        <f>'6-PlantInService'!C18</f>
        <v>87553683.814069748</v>
      </c>
      <c r="D19" s="232">
        <f>'6-PlantInService'!D18</f>
        <v>165483879.36154321</v>
      </c>
      <c r="E19" s="232">
        <f>'6-PlantInService'!E18</f>
        <v>661382665.51631856</v>
      </c>
      <c r="F19" s="232">
        <f>'6-PlantInService'!F18</f>
        <v>3515998242.9279389</v>
      </c>
      <c r="G19" s="232">
        <f>'6-PlantInService'!G18</f>
        <v>2283177846.3192172</v>
      </c>
      <c r="H19" s="232">
        <f>'6-PlantInService'!H18</f>
        <v>400761723.2236163</v>
      </c>
      <c r="I19" s="232">
        <f>'6-PlantInService'!I18</f>
        <v>1371206860.8436511</v>
      </c>
      <c r="J19" s="232">
        <f>'6-PlantInService'!J18</f>
        <v>215333812.56488377</v>
      </c>
      <c r="K19" s="232">
        <f>'6-PlantInService'!K18</f>
        <v>59244428.228950471</v>
      </c>
      <c r="L19" s="232">
        <f>'6-PlantInService'!L18</f>
        <v>177612079.24833342</v>
      </c>
      <c r="M19" s="232">
        <f>'6-PlantInService'!M18</f>
        <v>8937755222.048521</v>
      </c>
    </row>
    <row r="20" spans="1:14" ht="13">
      <c r="A20" s="572">
        <f t="shared" si="0"/>
        <v>9</v>
      </c>
      <c r="B20" s="1014" t="s">
        <v>2602</v>
      </c>
      <c r="C20" s="232">
        <f>'6-PlantInService'!C19</f>
        <v>87553683.814069748</v>
      </c>
      <c r="D20" s="232">
        <f>'6-PlantInService'!D19</f>
        <v>165484093.87374327</v>
      </c>
      <c r="E20" s="232">
        <f>'6-PlantInService'!E19</f>
        <v>674909871.43864024</v>
      </c>
      <c r="F20" s="232">
        <f>'6-PlantInService'!F19</f>
        <v>3538452630.2068014</v>
      </c>
      <c r="G20" s="232">
        <f>'6-PlantInService'!G19</f>
        <v>2285134791.815619</v>
      </c>
      <c r="H20" s="232">
        <f>'6-PlantInService'!H19</f>
        <v>401429531.76485151</v>
      </c>
      <c r="I20" s="232">
        <f>'6-PlantInService'!I19</f>
        <v>1370067207.3267097</v>
      </c>
      <c r="J20" s="232">
        <f>'6-PlantInService'!J19</f>
        <v>215340821.97947031</v>
      </c>
      <c r="K20" s="232">
        <f>'6-PlantInService'!K19</f>
        <v>59244866.79172115</v>
      </c>
      <c r="L20" s="232">
        <f>'6-PlantInService'!L19</f>
        <v>177615266.92994034</v>
      </c>
      <c r="M20" s="232">
        <f>'6-PlantInService'!M19</f>
        <v>8975232765.9415684</v>
      </c>
    </row>
    <row r="21" spans="1:14" ht="13">
      <c r="A21" s="572">
        <f t="shared" si="0"/>
        <v>10</v>
      </c>
      <c r="B21" s="1014" t="s">
        <v>2603</v>
      </c>
      <c r="C21" s="232">
        <f>'6-PlantInService'!C20</f>
        <v>87570144.77582708</v>
      </c>
      <c r="D21" s="232">
        <f>'6-PlantInService'!D20</f>
        <v>165595201.03246102</v>
      </c>
      <c r="E21" s="232">
        <f>'6-PlantInService'!E20</f>
        <v>677295973.08559442</v>
      </c>
      <c r="F21" s="232">
        <f>'6-PlantInService'!F20</f>
        <v>3543843021.1083984</v>
      </c>
      <c r="G21" s="232">
        <f>'6-PlantInService'!G20</f>
        <v>2297900874.677537</v>
      </c>
      <c r="H21" s="232">
        <f>'6-PlantInService'!H20</f>
        <v>402224730.09936982</v>
      </c>
      <c r="I21" s="232">
        <f>'6-PlantInService'!I20</f>
        <v>1379053256.7337482</v>
      </c>
      <c r="J21" s="232">
        <f>'6-PlantInService'!J20</f>
        <v>215347099.57419631</v>
      </c>
      <c r="K21" s="232">
        <f>'6-PlantInService'!K20</f>
        <v>59245373.248900287</v>
      </c>
      <c r="L21" s="232">
        <f>'6-PlantInService'!L20</f>
        <v>177619374.09883332</v>
      </c>
      <c r="M21" s="232">
        <f>'6-PlantInService'!M20</f>
        <v>9005695048.434866</v>
      </c>
    </row>
    <row r="22" spans="1:14" ht="13">
      <c r="A22" s="572">
        <f t="shared" si="0"/>
        <v>11</v>
      </c>
      <c r="B22" s="1014" t="s">
        <v>2604</v>
      </c>
      <c r="C22" s="232">
        <f>'6-PlantInService'!C21</f>
        <v>87569796.354639083</v>
      </c>
      <c r="D22" s="232">
        <f>'6-PlantInService'!D21</f>
        <v>165598608.52328014</v>
      </c>
      <c r="E22" s="232">
        <f>'6-PlantInService'!E21</f>
        <v>677882531.62483716</v>
      </c>
      <c r="F22" s="232">
        <f>'6-PlantInService'!F21</f>
        <v>3550828647.1864853</v>
      </c>
      <c r="G22" s="232">
        <f>'6-PlantInService'!G21</f>
        <v>2299348771.0964823</v>
      </c>
      <c r="H22" s="232">
        <f>'6-PlantInService'!H21</f>
        <v>403632407.59406573</v>
      </c>
      <c r="I22" s="232">
        <f>'6-PlantInService'!I21</f>
        <v>1403798673.0661542</v>
      </c>
      <c r="J22" s="232">
        <f>'6-PlantInService'!J21</f>
        <v>215352794.50621113</v>
      </c>
      <c r="K22" s="232">
        <f>'6-PlantInService'!K21</f>
        <v>59245902.41609361</v>
      </c>
      <c r="L22" s="232">
        <f>'6-PlantInService'!L21</f>
        <v>178258588.02527183</v>
      </c>
      <c r="M22" s="232">
        <f>'6-PlantInService'!M21</f>
        <v>9041516720.3935204</v>
      </c>
    </row>
    <row r="23" spans="1:14" ht="13">
      <c r="A23" s="572">
        <f t="shared" si="0"/>
        <v>12</v>
      </c>
      <c r="B23" s="1014" t="s">
        <v>2605</v>
      </c>
      <c r="C23" s="232">
        <f>'6-PlantInService'!C22</f>
        <v>88713599.713699505</v>
      </c>
      <c r="D23" s="232">
        <f>'6-PlantInService'!D22</f>
        <v>165585387.5366627</v>
      </c>
      <c r="E23" s="232">
        <f>'6-PlantInService'!E22</f>
        <v>677781640.19913304</v>
      </c>
      <c r="F23" s="232">
        <f>'6-PlantInService'!F22</f>
        <v>3558254573.4971943</v>
      </c>
      <c r="G23" s="232">
        <f>'6-PlantInService'!G22</f>
        <v>2300875370.6415114</v>
      </c>
      <c r="H23" s="232">
        <f>'6-PlantInService'!H22</f>
        <v>404634826.6358096</v>
      </c>
      <c r="I23" s="232">
        <f>'6-PlantInService'!I22</f>
        <v>1406436694.3842559</v>
      </c>
      <c r="J23" s="232">
        <f>'6-PlantInService'!J22</f>
        <v>215364289.11686331</v>
      </c>
      <c r="K23" s="232">
        <f>'6-PlantInService'!K22</f>
        <v>59250147.216889076</v>
      </c>
      <c r="L23" s="232">
        <f>'6-PlantInService'!L22</f>
        <v>178942879.29017994</v>
      </c>
      <c r="M23" s="232">
        <f>'6-PlantInService'!M22</f>
        <v>9055839408.2321987</v>
      </c>
    </row>
    <row r="24" spans="1:14" ht="13">
      <c r="A24" s="572">
        <f t="shared" si="0"/>
        <v>13</v>
      </c>
      <c r="B24" s="1014" t="s">
        <v>2606</v>
      </c>
      <c r="C24" s="232">
        <f>'6-PlantInService'!C23</f>
        <v>88722949.825873926</v>
      </c>
      <c r="D24" s="232">
        <f>'6-PlantInService'!D23</f>
        <v>165732565.69245622</v>
      </c>
      <c r="E24" s="232">
        <f>'6-PlantInService'!E23</f>
        <v>741230571.26955175</v>
      </c>
      <c r="F24" s="232">
        <f>'6-PlantInService'!F23</f>
        <v>3714934155.6737089</v>
      </c>
      <c r="G24" s="232">
        <f>'6-PlantInService'!G23</f>
        <v>2305124777.8401799</v>
      </c>
      <c r="H24" s="232">
        <f>'6-PlantInService'!H23</f>
        <v>408001019.0888837</v>
      </c>
      <c r="I24" s="232">
        <f>'6-PlantInService'!I23</f>
        <v>1408013215.7482004</v>
      </c>
      <c r="J24" s="232">
        <f>'6-PlantInService'!J23</f>
        <v>215368701.52640039</v>
      </c>
      <c r="K24" s="232">
        <f>'6-PlantInService'!K23</f>
        <v>59251565.606308758</v>
      </c>
      <c r="L24" s="232">
        <f>'6-PlantInService'!L23</f>
        <v>179151598.49303469</v>
      </c>
      <c r="M24" s="232">
        <f>'6-PlantInService'!M23</f>
        <v>9285531120.7645969</v>
      </c>
    </row>
    <row r="25" spans="1:14" ht="13">
      <c r="A25" s="572">
        <f t="shared" si="0"/>
        <v>14</v>
      </c>
      <c r="B25" s="230"/>
      <c r="C25" s="230"/>
      <c r="D25" s="230"/>
      <c r="E25" s="230"/>
      <c r="F25" s="230"/>
      <c r="G25" s="230"/>
      <c r="H25" s="230"/>
      <c r="I25" s="230"/>
      <c r="J25" s="230"/>
      <c r="K25" s="230"/>
      <c r="L25" s="230"/>
      <c r="M25" s="230"/>
    </row>
    <row r="26" spans="1:14" ht="13">
      <c r="A26" s="572">
        <f t="shared" si="0"/>
        <v>15</v>
      </c>
      <c r="B26" s="634" t="s">
        <v>2608</v>
      </c>
      <c r="C26" s="239"/>
      <c r="D26" s="239"/>
      <c r="E26" s="1048"/>
      <c r="F26" s="239"/>
      <c r="G26" s="239"/>
      <c r="H26" s="239"/>
      <c r="I26" s="230"/>
      <c r="J26" s="230"/>
      <c r="K26" s="230"/>
      <c r="L26" s="230"/>
      <c r="M26" s="230"/>
    </row>
    <row r="27" spans="1:14" ht="13">
      <c r="A27" s="572"/>
      <c r="B27" s="109"/>
      <c r="C27" s="239"/>
      <c r="D27" s="239"/>
      <c r="E27" s="239"/>
      <c r="F27" s="239"/>
      <c r="G27" s="230"/>
      <c r="H27" s="230"/>
      <c r="I27" s="230"/>
      <c r="J27" s="230"/>
      <c r="K27" s="230"/>
      <c r="L27" s="230"/>
      <c r="M27" s="230"/>
    </row>
    <row r="28" spans="1:14" ht="13">
      <c r="A28" s="572">
        <f>A26+1</f>
        <v>16</v>
      </c>
      <c r="B28" s="123" t="s">
        <v>1760</v>
      </c>
      <c r="C28" s="358">
        <v>350.1</v>
      </c>
      <c r="D28" s="358">
        <v>350.2</v>
      </c>
      <c r="E28" s="358">
        <v>352</v>
      </c>
      <c r="F28" s="358">
        <v>353</v>
      </c>
      <c r="G28" s="84">
        <v>354</v>
      </c>
      <c r="H28" s="84">
        <v>355</v>
      </c>
      <c r="I28" s="84">
        <v>356</v>
      </c>
      <c r="J28" s="84">
        <v>357</v>
      </c>
      <c r="K28" s="84">
        <v>358</v>
      </c>
      <c r="L28" s="84">
        <v>359</v>
      </c>
      <c r="M28" s="3"/>
    </row>
    <row r="29" spans="1:14" ht="13">
      <c r="A29" s="572" t="s">
        <v>2016</v>
      </c>
      <c r="B29" s="1014" t="s">
        <v>2494</v>
      </c>
      <c r="C29" s="733">
        <v>0</v>
      </c>
      <c r="D29" s="733">
        <v>1.66E-2</v>
      </c>
      <c r="E29" s="733">
        <v>2.5700000000000001E-2</v>
      </c>
      <c r="F29" s="733">
        <v>2.47E-2</v>
      </c>
      <c r="G29" s="733">
        <v>2.4400000000000002E-2</v>
      </c>
      <c r="H29" s="733">
        <v>3.6700000000000003E-2</v>
      </c>
      <c r="I29" s="733">
        <v>3.0499999999999999E-2</v>
      </c>
      <c r="J29" s="733">
        <v>1.6500000000000001E-2</v>
      </c>
      <c r="K29" s="733">
        <v>3.8699999999999998E-2</v>
      </c>
      <c r="L29" s="733">
        <v>1.5599999999999999E-2</v>
      </c>
      <c r="M29" s="1275"/>
      <c r="N29" s="516"/>
    </row>
    <row r="30" spans="1:14" ht="13">
      <c r="A30" s="572" t="s">
        <v>2017</v>
      </c>
      <c r="B30" s="1014" t="s">
        <v>2607</v>
      </c>
      <c r="C30" s="733">
        <v>0</v>
      </c>
      <c r="D30" s="733">
        <v>1.66E-2</v>
      </c>
      <c r="E30" s="733">
        <v>2.5700000000000001E-2</v>
      </c>
      <c r="F30" s="733">
        <v>2.47E-2</v>
      </c>
      <c r="G30" s="733">
        <v>2.4400000000000002E-2</v>
      </c>
      <c r="H30" s="733">
        <v>3.6700000000000003E-2</v>
      </c>
      <c r="I30" s="733">
        <v>3.0499999999999999E-2</v>
      </c>
      <c r="J30" s="733">
        <v>1.6500000000000001E-2</v>
      </c>
      <c r="K30" s="733">
        <v>3.8699999999999998E-2</v>
      </c>
      <c r="L30" s="733">
        <v>1.5599999999999999E-2</v>
      </c>
      <c r="M30" s="1275"/>
      <c r="N30" s="516"/>
    </row>
    <row r="31" spans="1:14" ht="13">
      <c r="A31" s="572" t="s">
        <v>2018</v>
      </c>
      <c r="B31" s="1014" t="s">
        <v>2596</v>
      </c>
      <c r="C31" s="733">
        <v>0</v>
      </c>
      <c r="D31" s="733">
        <v>1.66E-2</v>
      </c>
      <c r="E31" s="733">
        <v>2.5700000000000001E-2</v>
      </c>
      <c r="F31" s="733">
        <v>2.47E-2</v>
      </c>
      <c r="G31" s="733">
        <v>2.4400000000000002E-2</v>
      </c>
      <c r="H31" s="733">
        <v>3.6700000000000003E-2</v>
      </c>
      <c r="I31" s="733">
        <v>3.0499999999999999E-2</v>
      </c>
      <c r="J31" s="733">
        <v>1.6500000000000001E-2</v>
      </c>
      <c r="K31" s="733">
        <v>3.8699999999999998E-2</v>
      </c>
      <c r="L31" s="733">
        <v>1.5599999999999999E-2</v>
      </c>
      <c r="M31" s="1275"/>
      <c r="N31" s="516"/>
    </row>
    <row r="32" spans="1:14" ht="13">
      <c r="A32" s="572" t="s">
        <v>2019</v>
      </c>
      <c r="B32" s="1014" t="s">
        <v>2597</v>
      </c>
      <c r="C32" s="733">
        <v>0</v>
      </c>
      <c r="D32" s="733">
        <v>1.66E-2</v>
      </c>
      <c r="E32" s="733">
        <v>2.5700000000000001E-2</v>
      </c>
      <c r="F32" s="733">
        <v>2.47E-2</v>
      </c>
      <c r="G32" s="733">
        <v>2.4400000000000002E-2</v>
      </c>
      <c r="H32" s="733">
        <v>3.6700000000000003E-2</v>
      </c>
      <c r="I32" s="733">
        <v>3.0499999999999999E-2</v>
      </c>
      <c r="J32" s="733">
        <v>1.6500000000000001E-2</v>
      </c>
      <c r="K32" s="733">
        <v>3.8699999999999998E-2</v>
      </c>
      <c r="L32" s="733">
        <v>1.5599999999999999E-2</v>
      </c>
      <c r="M32" s="1275"/>
      <c r="N32" s="516"/>
    </row>
    <row r="33" spans="1:14" ht="13">
      <c r="A33" s="572" t="s">
        <v>2020</v>
      </c>
      <c r="B33" s="1014" t="s">
        <v>2598</v>
      </c>
      <c r="C33" s="733">
        <v>0</v>
      </c>
      <c r="D33" s="733">
        <v>1.66E-2</v>
      </c>
      <c r="E33" s="733">
        <v>2.5700000000000001E-2</v>
      </c>
      <c r="F33" s="733">
        <v>2.47E-2</v>
      </c>
      <c r="G33" s="733">
        <v>2.4400000000000002E-2</v>
      </c>
      <c r="H33" s="733">
        <v>3.6700000000000003E-2</v>
      </c>
      <c r="I33" s="733">
        <v>3.0499999999999999E-2</v>
      </c>
      <c r="J33" s="733">
        <v>1.6500000000000001E-2</v>
      </c>
      <c r="K33" s="733">
        <v>3.8699999999999998E-2</v>
      </c>
      <c r="L33" s="733">
        <v>1.5599999999999999E-2</v>
      </c>
      <c r="M33" s="1275"/>
      <c r="N33" s="516"/>
    </row>
    <row r="34" spans="1:14" ht="13">
      <c r="A34" s="572" t="s">
        <v>2021</v>
      </c>
      <c r="B34" s="1014" t="s">
        <v>2599</v>
      </c>
      <c r="C34" s="733">
        <v>0</v>
      </c>
      <c r="D34" s="733">
        <v>1.66E-2</v>
      </c>
      <c r="E34" s="733">
        <v>2.5700000000000001E-2</v>
      </c>
      <c r="F34" s="733">
        <v>2.47E-2</v>
      </c>
      <c r="G34" s="733">
        <v>2.4400000000000002E-2</v>
      </c>
      <c r="H34" s="733">
        <v>3.6700000000000003E-2</v>
      </c>
      <c r="I34" s="733">
        <v>3.0499999999999999E-2</v>
      </c>
      <c r="J34" s="733">
        <v>1.6500000000000001E-2</v>
      </c>
      <c r="K34" s="733">
        <v>3.8699999999999998E-2</v>
      </c>
      <c r="L34" s="733">
        <v>1.5599999999999999E-2</v>
      </c>
      <c r="M34" s="1275"/>
      <c r="N34" s="516"/>
    </row>
    <row r="35" spans="1:14" ht="13">
      <c r="A35" s="572" t="s">
        <v>2022</v>
      </c>
      <c r="B35" s="1014" t="s">
        <v>2600</v>
      </c>
      <c r="C35" s="733">
        <v>0</v>
      </c>
      <c r="D35" s="733">
        <v>1.66E-2</v>
      </c>
      <c r="E35" s="733">
        <v>2.5700000000000001E-2</v>
      </c>
      <c r="F35" s="733">
        <v>2.47E-2</v>
      </c>
      <c r="G35" s="733">
        <v>2.4400000000000002E-2</v>
      </c>
      <c r="H35" s="733">
        <v>3.6700000000000003E-2</v>
      </c>
      <c r="I35" s="733">
        <v>3.0499999999999999E-2</v>
      </c>
      <c r="J35" s="733">
        <v>1.6500000000000001E-2</v>
      </c>
      <c r="K35" s="733">
        <v>3.8699999999999998E-2</v>
      </c>
      <c r="L35" s="733">
        <v>1.5599999999999999E-2</v>
      </c>
      <c r="M35" s="1275"/>
      <c r="N35" s="516"/>
    </row>
    <row r="36" spans="1:14" ht="13">
      <c r="A36" s="572" t="s">
        <v>2023</v>
      </c>
      <c r="B36" s="1014" t="s">
        <v>2601</v>
      </c>
      <c r="C36" s="733">
        <v>0</v>
      </c>
      <c r="D36" s="733">
        <v>1.66E-2</v>
      </c>
      <c r="E36" s="733">
        <v>2.5700000000000001E-2</v>
      </c>
      <c r="F36" s="733">
        <v>2.47E-2</v>
      </c>
      <c r="G36" s="733">
        <v>2.4400000000000002E-2</v>
      </c>
      <c r="H36" s="733">
        <v>3.6700000000000003E-2</v>
      </c>
      <c r="I36" s="733">
        <v>3.0499999999999999E-2</v>
      </c>
      <c r="J36" s="733">
        <v>1.6500000000000001E-2</v>
      </c>
      <c r="K36" s="733">
        <v>3.8699999999999998E-2</v>
      </c>
      <c r="L36" s="733">
        <v>1.5599999999999999E-2</v>
      </c>
      <c r="M36" s="1275"/>
      <c r="N36" s="516"/>
    </row>
    <row r="37" spans="1:14" ht="13">
      <c r="A37" s="572" t="s">
        <v>2024</v>
      </c>
      <c r="B37" s="1014" t="s">
        <v>2602</v>
      </c>
      <c r="C37" s="733">
        <v>0</v>
      </c>
      <c r="D37" s="733">
        <v>1.66E-2</v>
      </c>
      <c r="E37" s="733">
        <v>2.5700000000000001E-2</v>
      </c>
      <c r="F37" s="733">
        <v>2.47E-2</v>
      </c>
      <c r="G37" s="733">
        <v>2.4400000000000002E-2</v>
      </c>
      <c r="H37" s="733">
        <v>3.6700000000000003E-2</v>
      </c>
      <c r="I37" s="733">
        <v>3.0499999999999999E-2</v>
      </c>
      <c r="J37" s="733">
        <v>1.6500000000000001E-2</v>
      </c>
      <c r="K37" s="733">
        <v>3.8699999999999998E-2</v>
      </c>
      <c r="L37" s="733">
        <v>1.5599999999999999E-2</v>
      </c>
      <c r="M37" s="1275"/>
      <c r="N37" s="516"/>
    </row>
    <row r="38" spans="1:14" ht="13">
      <c r="A38" s="572" t="s">
        <v>2025</v>
      </c>
      <c r="B38" s="1014" t="s">
        <v>2603</v>
      </c>
      <c r="C38" s="733">
        <v>0</v>
      </c>
      <c r="D38" s="733">
        <v>1.66E-2</v>
      </c>
      <c r="E38" s="733">
        <v>2.5700000000000001E-2</v>
      </c>
      <c r="F38" s="733">
        <v>2.47E-2</v>
      </c>
      <c r="G38" s="733">
        <v>2.4400000000000002E-2</v>
      </c>
      <c r="H38" s="733">
        <v>3.6700000000000003E-2</v>
      </c>
      <c r="I38" s="733">
        <v>3.0499999999999999E-2</v>
      </c>
      <c r="J38" s="733">
        <v>1.6500000000000001E-2</v>
      </c>
      <c r="K38" s="733">
        <v>3.8699999999999998E-2</v>
      </c>
      <c r="L38" s="733">
        <v>1.5599999999999999E-2</v>
      </c>
      <c r="M38" s="1275"/>
      <c r="N38" s="516"/>
    </row>
    <row r="39" spans="1:14" ht="13">
      <c r="A39" s="572" t="s">
        <v>2026</v>
      </c>
      <c r="B39" s="1014" t="s">
        <v>2604</v>
      </c>
      <c r="C39" s="733">
        <v>0</v>
      </c>
      <c r="D39" s="733">
        <v>1.66E-2</v>
      </c>
      <c r="E39" s="733">
        <v>2.5700000000000001E-2</v>
      </c>
      <c r="F39" s="733">
        <v>2.47E-2</v>
      </c>
      <c r="G39" s="733">
        <v>2.4400000000000002E-2</v>
      </c>
      <c r="H39" s="733">
        <v>3.6700000000000003E-2</v>
      </c>
      <c r="I39" s="733">
        <v>3.0499999999999999E-2</v>
      </c>
      <c r="J39" s="733">
        <v>1.6500000000000001E-2</v>
      </c>
      <c r="K39" s="733">
        <v>3.8699999999999998E-2</v>
      </c>
      <c r="L39" s="733">
        <v>1.5599999999999999E-2</v>
      </c>
      <c r="M39" s="230"/>
    </row>
    <row r="40" spans="1:14" ht="13">
      <c r="A40" s="572" t="s">
        <v>2027</v>
      </c>
      <c r="B40" s="1014" t="s">
        <v>2605</v>
      </c>
      <c r="C40" s="733">
        <v>0</v>
      </c>
      <c r="D40" s="733">
        <v>1.66E-2</v>
      </c>
      <c r="E40" s="733">
        <v>2.5700000000000001E-2</v>
      </c>
      <c r="F40" s="733">
        <v>2.47E-2</v>
      </c>
      <c r="G40" s="733">
        <v>2.4400000000000002E-2</v>
      </c>
      <c r="H40" s="733">
        <v>3.6700000000000003E-2</v>
      </c>
      <c r="I40" s="733">
        <v>3.0499999999999999E-2</v>
      </c>
      <c r="J40" s="733">
        <v>1.6500000000000001E-2</v>
      </c>
      <c r="K40" s="733">
        <v>3.8699999999999998E-2</v>
      </c>
      <c r="L40" s="733">
        <v>1.5599999999999999E-2</v>
      </c>
      <c r="M40" s="230"/>
    </row>
    <row r="41" spans="1:14" ht="13">
      <c r="A41" s="572" t="s">
        <v>2028</v>
      </c>
      <c r="B41" s="1014" t="s">
        <v>2606</v>
      </c>
      <c r="C41" s="733">
        <v>0</v>
      </c>
      <c r="D41" s="733">
        <v>1.66E-2</v>
      </c>
      <c r="E41" s="733">
        <v>2.5700000000000001E-2</v>
      </c>
      <c r="F41" s="733">
        <v>2.47E-2</v>
      </c>
      <c r="G41" s="733">
        <v>2.4400000000000002E-2</v>
      </c>
      <c r="H41" s="733">
        <v>3.6700000000000003E-2</v>
      </c>
      <c r="I41" s="733">
        <v>3.0499999999999999E-2</v>
      </c>
      <c r="J41" s="733">
        <v>1.6500000000000001E-2</v>
      </c>
      <c r="K41" s="733">
        <v>3.8699999999999998E-2</v>
      </c>
      <c r="L41" s="733">
        <v>1.5599999999999999E-2</v>
      </c>
      <c r="M41" s="230"/>
    </row>
    <row r="42" spans="1:14" ht="13">
      <c r="A42" s="572">
        <v>18</v>
      </c>
      <c r="C42" s="365"/>
      <c r="D42" s="365"/>
      <c r="E42" s="365"/>
      <c r="F42" s="365"/>
      <c r="G42" s="365"/>
      <c r="H42" s="365"/>
      <c r="I42" s="365"/>
      <c r="J42" s="365"/>
      <c r="K42" s="365"/>
      <c r="L42" s="365"/>
      <c r="M42" s="230"/>
    </row>
    <row r="43" spans="1:14" ht="13">
      <c r="A43" s="572">
        <f t="shared" si="0"/>
        <v>19</v>
      </c>
      <c r="B43" s="478" t="s">
        <v>971</v>
      </c>
      <c r="C43" s="240"/>
      <c r="D43" s="240"/>
      <c r="E43" s="240"/>
      <c r="F43" s="240"/>
      <c r="G43" s="516" t="s">
        <v>1694</v>
      </c>
      <c r="H43" s="240"/>
      <c r="I43" s="365"/>
      <c r="J43" s="365"/>
      <c r="K43" s="365"/>
      <c r="L43" s="365"/>
      <c r="M43" s="230"/>
    </row>
    <row r="44" spans="1:14" ht="13">
      <c r="A44" s="572">
        <f t="shared" si="0"/>
        <v>20</v>
      </c>
      <c r="B44" s="239"/>
      <c r="C44" s="239"/>
      <c r="D44" s="239"/>
      <c r="E44" s="239"/>
      <c r="F44" s="239"/>
      <c r="G44" s="239"/>
      <c r="H44" s="239"/>
      <c r="I44" s="230"/>
      <c r="J44" s="230"/>
      <c r="K44" s="230"/>
      <c r="L44" s="230"/>
      <c r="M44" s="230"/>
    </row>
    <row r="45" spans="1:14" ht="13">
      <c r="A45" s="572">
        <f t="shared" si="0"/>
        <v>21</v>
      </c>
      <c r="B45" s="109"/>
      <c r="C45" s="891" t="s">
        <v>12</v>
      </c>
      <c r="D45" s="239"/>
      <c r="E45" s="239"/>
      <c r="F45" s="239"/>
      <c r="G45" s="239"/>
      <c r="H45" s="239"/>
      <c r="I45" s="230"/>
      <c r="J45" s="230"/>
      <c r="K45" s="230"/>
      <c r="L45" s="230"/>
      <c r="M45" s="230"/>
    </row>
    <row r="46" spans="1:14" ht="13">
      <c r="A46" s="572">
        <f t="shared" si="0"/>
        <v>22</v>
      </c>
      <c r="B46" s="109"/>
      <c r="C46" s="891" t="s">
        <v>968</v>
      </c>
      <c r="D46" s="239"/>
      <c r="E46" s="239"/>
      <c r="F46" s="239"/>
      <c r="G46" s="239"/>
      <c r="H46" s="239"/>
      <c r="I46" s="230"/>
      <c r="J46" s="230"/>
      <c r="K46" s="230"/>
      <c r="L46" s="230"/>
      <c r="M46" s="572" t="s">
        <v>192</v>
      </c>
    </row>
    <row r="47" spans="1:14" ht="13">
      <c r="A47" s="572">
        <f t="shared" si="0"/>
        <v>23</v>
      </c>
      <c r="B47" s="123" t="s">
        <v>1760</v>
      </c>
      <c r="C47" s="358">
        <v>350.1</v>
      </c>
      <c r="D47" s="358">
        <v>350.2</v>
      </c>
      <c r="E47" s="358">
        <v>352</v>
      </c>
      <c r="F47" s="358">
        <v>353</v>
      </c>
      <c r="G47" s="358">
        <v>354</v>
      </c>
      <c r="H47" s="358">
        <v>355</v>
      </c>
      <c r="I47" s="84">
        <v>356</v>
      </c>
      <c r="J47" s="84">
        <v>357</v>
      </c>
      <c r="K47" s="84">
        <v>358</v>
      </c>
      <c r="L47" s="84">
        <v>359</v>
      </c>
      <c r="M47" s="3" t="s">
        <v>196</v>
      </c>
    </row>
    <row r="48" spans="1:14" ht="13">
      <c r="A48" s="572">
        <f t="shared" si="0"/>
        <v>24</v>
      </c>
      <c r="B48" s="1014" t="s">
        <v>2607</v>
      </c>
      <c r="C48" s="234">
        <f t="shared" ref="C48:C59" si="1">C12*$C$29/12</f>
        <v>0</v>
      </c>
      <c r="D48" s="234">
        <f t="shared" ref="D48:D59" si="2">D12*$D29/12</f>
        <v>228612.35939537571</v>
      </c>
      <c r="E48" s="234">
        <f t="shared" ref="E48:E59" si="3">E12*$E29/12</f>
        <v>1378537.9555505149</v>
      </c>
      <c r="F48" s="234">
        <f t="shared" ref="F48:F59" si="4">F12*$F29/12</f>
        <v>7121346.6466491697</v>
      </c>
      <c r="G48" s="234">
        <f>G12*$G29/12</f>
        <v>4645576.5832561329</v>
      </c>
      <c r="H48" s="234">
        <f t="shared" ref="H48:H59" si="5">H12*$H29/12</f>
        <v>1182175.173197662</v>
      </c>
      <c r="I48" s="234">
        <f t="shared" ref="I48:I59" si="6">I12*$I29/12</f>
        <v>3333419.692423882</v>
      </c>
      <c r="J48" s="234">
        <f t="shared" ref="J48:J59" si="7">J12*$J29/12</f>
        <v>262475.40275004989</v>
      </c>
      <c r="K48" s="234">
        <f t="shared" ref="K48:K59" si="8">K12*$K29/12</f>
        <v>270865.23127521289</v>
      </c>
      <c r="L48" s="234">
        <f t="shared" ref="L48:L59" si="9">L12*$L29/12</f>
        <v>225918.68390000003</v>
      </c>
      <c r="M48" s="232">
        <f>SUM(C48:L48)</f>
        <v>18648927.728397995</v>
      </c>
    </row>
    <row r="49" spans="1:13" ht="13">
      <c r="A49" s="572">
        <f t="shared" si="0"/>
        <v>25</v>
      </c>
      <c r="B49" s="1014" t="s">
        <v>2596</v>
      </c>
      <c r="C49" s="234">
        <f t="shared" si="1"/>
        <v>0</v>
      </c>
      <c r="D49" s="234">
        <f t="shared" si="2"/>
        <v>228551.25158172916</v>
      </c>
      <c r="E49" s="234">
        <f t="shared" si="3"/>
        <v>1383520.1998343221</v>
      </c>
      <c r="F49" s="234">
        <f t="shared" si="4"/>
        <v>7127811.7498428151</v>
      </c>
      <c r="G49" s="234">
        <f t="shared" ref="G49:G59" si="10">G13*$G30/12</f>
        <v>4622814.0171417715</v>
      </c>
      <c r="H49" s="234">
        <f t="shared" si="5"/>
        <v>1200730.582529986</v>
      </c>
      <c r="I49" s="234">
        <f t="shared" si="6"/>
        <v>3354417.0457676877</v>
      </c>
      <c r="J49" s="234">
        <f t="shared" si="7"/>
        <v>262470.27727555815</v>
      </c>
      <c r="K49" s="234">
        <f t="shared" si="8"/>
        <v>270859.49461807165</v>
      </c>
      <c r="L49" s="234">
        <f t="shared" si="9"/>
        <v>225931.8803756097</v>
      </c>
      <c r="M49" s="232">
        <f t="shared" ref="M49:M59" si="11">SUM(C49:L49)</f>
        <v>18677106.498967554</v>
      </c>
    </row>
    <row r="50" spans="1:13" ht="13">
      <c r="A50" s="572">
        <f t="shared" si="0"/>
        <v>26</v>
      </c>
      <c r="B50" s="1014" t="s">
        <v>2597</v>
      </c>
      <c r="C50" s="234">
        <f t="shared" si="1"/>
        <v>0</v>
      </c>
      <c r="D50" s="234">
        <f t="shared" si="2"/>
        <v>228580.24865978389</v>
      </c>
      <c r="E50" s="234">
        <f t="shared" si="3"/>
        <v>1391902.3430414132</v>
      </c>
      <c r="F50" s="234">
        <f t="shared" si="4"/>
        <v>7128008.9375565164</v>
      </c>
      <c r="G50" s="234">
        <f t="shared" si="10"/>
        <v>4623596.4899500823</v>
      </c>
      <c r="H50" s="234">
        <f t="shared" si="5"/>
        <v>1206648.8636158996</v>
      </c>
      <c r="I50" s="234">
        <f t="shared" si="6"/>
        <v>3355460.8525568624</v>
      </c>
      <c r="J50" s="234">
        <f t="shared" si="7"/>
        <v>262482.72710641444</v>
      </c>
      <c r="K50" s="234">
        <f t="shared" si="8"/>
        <v>270873.59771124303</v>
      </c>
      <c r="L50" s="234">
        <f t="shared" si="9"/>
        <v>226155.59237765812</v>
      </c>
      <c r="M50" s="232">
        <f t="shared" si="11"/>
        <v>18693709.652575873</v>
      </c>
    </row>
    <row r="51" spans="1:13" ht="13">
      <c r="A51" s="572">
        <f t="shared" si="0"/>
        <v>27</v>
      </c>
      <c r="B51" s="1014" t="s">
        <v>2598</v>
      </c>
      <c r="C51" s="234">
        <f t="shared" si="1"/>
        <v>0</v>
      </c>
      <c r="D51" s="234">
        <f t="shared" si="2"/>
        <v>228630.08648079736</v>
      </c>
      <c r="E51" s="234">
        <f t="shared" si="3"/>
        <v>1405587.9451119264</v>
      </c>
      <c r="F51" s="234">
        <f t="shared" si="4"/>
        <v>7149413.268591932</v>
      </c>
      <c r="G51" s="234">
        <f t="shared" si="10"/>
        <v>4622965.5940618375</v>
      </c>
      <c r="H51" s="234">
        <f t="shared" si="5"/>
        <v>1212791.1076605886</v>
      </c>
      <c r="I51" s="234">
        <f t="shared" si="6"/>
        <v>3362066.0341225653</v>
      </c>
      <c r="J51" s="234">
        <f t="shared" si="7"/>
        <v>262509.4520696401</v>
      </c>
      <c r="K51" s="234">
        <f t="shared" si="8"/>
        <v>270893.80701903166</v>
      </c>
      <c r="L51" s="234">
        <f t="shared" si="9"/>
        <v>229572.91373544824</v>
      </c>
      <c r="M51" s="232">
        <f t="shared" si="11"/>
        <v>18744430.208853766</v>
      </c>
    </row>
    <row r="52" spans="1:13" ht="13">
      <c r="A52" s="572">
        <f t="shared" si="0"/>
        <v>28</v>
      </c>
      <c r="B52" s="1014" t="s">
        <v>2599</v>
      </c>
      <c r="C52" s="234">
        <f t="shared" si="1"/>
        <v>0</v>
      </c>
      <c r="D52" s="234">
        <f t="shared" si="2"/>
        <v>228572.62047867334</v>
      </c>
      <c r="E52" s="234">
        <f t="shared" si="3"/>
        <v>1406078.4739860191</v>
      </c>
      <c r="F52" s="234">
        <f t="shared" si="4"/>
        <v>7172894.0276534716</v>
      </c>
      <c r="G52" s="234">
        <f t="shared" si="10"/>
        <v>4630367.1185662486</v>
      </c>
      <c r="H52" s="234">
        <f t="shared" si="5"/>
        <v>1215556.4940968805</v>
      </c>
      <c r="I52" s="234">
        <f t="shared" si="6"/>
        <v>3403351.0992631856</v>
      </c>
      <c r="J52" s="234">
        <f t="shared" si="7"/>
        <v>262524.44808800548</v>
      </c>
      <c r="K52" s="234">
        <f t="shared" si="8"/>
        <v>270911.23257800855</v>
      </c>
      <c r="L52" s="234">
        <f t="shared" si="9"/>
        <v>229653.29022961471</v>
      </c>
      <c r="M52" s="232">
        <f t="shared" si="11"/>
        <v>18819908.804940108</v>
      </c>
    </row>
    <row r="53" spans="1:13" ht="13">
      <c r="A53" s="572">
        <f t="shared" si="0"/>
        <v>29</v>
      </c>
      <c r="B53" s="1014" t="s">
        <v>2600</v>
      </c>
      <c r="C53" s="234">
        <f t="shared" si="1"/>
        <v>0</v>
      </c>
      <c r="D53" s="234">
        <f t="shared" si="2"/>
        <v>228621.01695637673</v>
      </c>
      <c r="E53" s="234">
        <f t="shared" si="3"/>
        <v>1415464.3120513048</v>
      </c>
      <c r="F53" s="234">
        <f t="shared" si="4"/>
        <v>7219232.9261552691</v>
      </c>
      <c r="G53" s="234">
        <f t="shared" si="10"/>
        <v>4632229.6444100328</v>
      </c>
      <c r="H53" s="234">
        <f t="shared" si="5"/>
        <v>1218809.4514561503</v>
      </c>
      <c r="I53" s="234">
        <f t="shared" si="6"/>
        <v>3459998.0122468919</v>
      </c>
      <c r="J53" s="234">
        <f t="shared" si="7"/>
        <v>262551.16900829953</v>
      </c>
      <c r="K53" s="234">
        <f t="shared" si="8"/>
        <v>270939.90434944496</v>
      </c>
      <c r="L53" s="234">
        <f t="shared" si="9"/>
        <v>230861.67314648387</v>
      </c>
      <c r="M53" s="232">
        <f t="shared" si="11"/>
        <v>18938708.109780256</v>
      </c>
    </row>
    <row r="54" spans="1:13" ht="13">
      <c r="A54" s="572">
        <f t="shared" si="0"/>
        <v>30</v>
      </c>
      <c r="B54" s="1014" t="s">
        <v>2601</v>
      </c>
      <c r="C54" s="234">
        <f t="shared" si="1"/>
        <v>0</v>
      </c>
      <c r="D54" s="234">
        <f t="shared" si="2"/>
        <v>228814.58860785514</v>
      </c>
      <c r="E54" s="234">
        <f t="shared" si="3"/>
        <v>1416681.0179030525</v>
      </c>
      <c r="F54" s="234">
        <f t="shared" si="4"/>
        <v>7227168.039173699</v>
      </c>
      <c r="G54" s="234">
        <f t="shared" si="10"/>
        <v>4639768.8252293654</v>
      </c>
      <c r="H54" s="234">
        <f t="shared" si="5"/>
        <v>1221978.4610997008</v>
      </c>
      <c r="I54" s="234">
        <f t="shared" si="6"/>
        <v>3481597.6250372846</v>
      </c>
      <c r="J54" s="234">
        <f t="shared" si="7"/>
        <v>262559.83207264525</v>
      </c>
      <c r="K54" s="234">
        <f t="shared" si="8"/>
        <v>270963.11807342531</v>
      </c>
      <c r="L54" s="234">
        <f t="shared" si="9"/>
        <v>230853.63628217974</v>
      </c>
      <c r="M54" s="232">
        <f t="shared" si="11"/>
        <v>18980385.143479209</v>
      </c>
    </row>
    <row r="55" spans="1:13" ht="13">
      <c r="A55" s="572">
        <f t="shared" si="0"/>
        <v>31</v>
      </c>
      <c r="B55" s="1014" t="s">
        <v>2602</v>
      </c>
      <c r="C55" s="234">
        <f t="shared" si="1"/>
        <v>0</v>
      </c>
      <c r="D55" s="234">
        <f t="shared" si="2"/>
        <v>228919.36645013478</v>
      </c>
      <c r="E55" s="234">
        <f t="shared" si="3"/>
        <v>1416461.2086474488</v>
      </c>
      <c r="F55" s="234">
        <f t="shared" si="4"/>
        <v>7237096.3833600068</v>
      </c>
      <c r="G55" s="234">
        <f t="shared" si="10"/>
        <v>4642461.6208490757</v>
      </c>
      <c r="H55" s="234">
        <f t="shared" si="5"/>
        <v>1225662.9368588934</v>
      </c>
      <c r="I55" s="234">
        <f t="shared" si="6"/>
        <v>3485150.7713109464</v>
      </c>
      <c r="J55" s="234">
        <f t="shared" si="7"/>
        <v>296083.99227671517</v>
      </c>
      <c r="K55" s="234">
        <f t="shared" si="8"/>
        <v>191063.28103836524</v>
      </c>
      <c r="L55" s="234">
        <f t="shared" si="9"/>
        <v>230895.70302283345</v>
      </c>
      <c r="M55" s="232">
        <f t="shared" si="11"/>
        <v>18953795.263814423</v>
      </c>
    </row>
    <row r="56" spans="1:13" ht="13">
      <c r="A56" s="572">
        <f t="shared" si="0"/>
        <v>32</v>
      </c>
      <c r="B56" s="1014" t="s">
        <v>2603</v>
      </c>
      <c r="C56" s="234">
        <f t="shared" si="1"/>
        <v>0</v>
      </c>
      <c r="D56" s="234">
        <f t="shared" si="2"/>
        <v>228919.66319201153</v>
      </c>
      <c r="E56" s="234">
        <f t="shared" si="3"/>
        <v>1445431.9746644211</v>
      </c>
      <c r="F56" s="234">
        <f t="shared" si="4"/>
        <v>7283314.9971756665</v>
      </c>
      <c r="G56" s="234">
        <f t="shared" si="10"/>
        <v>4646440.7433584258</v>
      </c>
      <c r="H56" s="234">
        <f t="shared" si="5"/>
        <v>1227705.3179808378</v>
      </c>
      <c r="I56" s="234">
        <f t="shared" si="6"/>
        <v>3482254.1519553871</v>
      </c>
      <c r="J56" s="234">
        <f t="shared" si="7"/>
        <v>296093.63022177172</v>
      </c>
      <c r="K56" s="234">
        <f t="shared" si="8"/>
        <v>191064.69540330069</v>
      </c>
      <c r="L56" s="234">
        <f t="shared" si="9"/>
        <v>230899.84700892246</v>
      </c>
      <c r="M56" s="232">
        <f t="shared" si="11"/>
        <v>19032125.020960744</v>
      </c>
    </row>
    <row r="57" spans="1:13" ht="13">
      <c r="A57" s="572">
        <f t="shared" si="0"/>
        <v>33</v>
      </c>
      <c r="B57" s="1014" t="s">
        <v>2604</v>
      </c>
      <c r="C57" s="234">
        <f t="shared" si="1"/>
        <v>0</v>
      </c>
      <c r="D57" s="234">
        <f t="shared" si="2"/>
        <v>229073.36142823775</v>
      </c>
      <c r="E57" s="234">
        <f t="shared" si="3"/>
        <v>1450542.2090249814</v>
      </c>
      <c r="F57" s="234">
        <f t="shared" si="4"/>
        <v>7294410.2184481202</v>
      </c>
      <c r="G57" s="234">
        <f t="shared" si="10"/>
        <v>4672398.4451776585</v>
      </c>
      <c r="H57" s="234">
        <f t="shared" si="5"/>
        <v>1230137.2995539063</v>
      </c>
      <c r="I57" s="234">
        <f t="shared" si="6"/>
        <v>3505093.6941982768</v>
      </c>
      <c r="J57" s="234">
        <f t="shared" si="7"/>
        <v>296102.26191451994</v>
      </c>
      <c r="K57" s="234">
        <f t="shared" si="8"/>
        <v>191066.32872770343</v>
      </c>
      <c r="L57" s="234">
        <f t="shared" si="9"/>
        <v>230905.18632848331</v>
      </c>
      <c r="M57" s="232">
        <f t="shared" si="11"/>
        <v>19099729.004801892</v>
      </c>
    </row>
    <row r="58" spans="1:13" ht="13">
      <c r="A58" s="572">
        <f t="shared" si="0"/>
        <v>34</v>
      </c>
      <c r="B58" s="1014" t="s">
        <v>2605</v>
      </c>
      <c r="C58" s="234">
        <f t="shared" si="1"/>
        <v>0</v>
      </c>
      <c r="D58" s="234">
        <f t="shared" si="2"/>
        <v>229078.07512387086</v>
      </c>
      <c r="E58" s="234">
        <f t="shared" si="3"/>
        <v>1451798.4218965264</v>
      </c>
      <c r="F58" s="234">
        <f t="shared" si="4"/>
        <v>7308788.9654588485</v>
      </c>
      <c r="G58" s="234">
        <f t="shared" si="10"/>
        <v>4675342.5012295144</v>
      </c>
      <c r="H58" s="234">
        <f t="shared" si="5"/>
        <v>1234442.4465585179</v>
      </c>
      <c r="I58" s="234">
        <f t="shared" si="6"/>
        <v>3567988.2940431419</v>
      </c>
      <c r="J58" s="234">
        <f t="shared" si="7"/>
        <v>296110.0924460403</v>
      </c>
      <c r="K58" s="234">
        <f t="shared" si="8"/>
        <v>191068.03529190188</v>
      </c>
      <c r="L58" s="234">
        <f t="shared" si="9"/>
        <v>231736.16443285337</v>
      </c>
      <c r="M58" s="232">
        <f t="shared" si="11"/>
        <v>19186352.996481214</v>
      </c>
    </row>
    <row r="59" spans="1:13" ht="13">
      <c r="A59" s="572">
        <f t="shared" si="0"/>
        <v>35</v>
      </c>
      <c r="B59" s="1014" t="s">
        <v>2606</v>
      </c>
      <c r="C59" s="234">
        <f t="shared" si="1"/>
        <v>0</v>
      </c>
      <c r="D59" s="234">
        <f t="shared" si="2"/>
        <v>229059.78609238341</v>
      </c>
      <c r="E59" s="234">
        <f t="shared" si="3"/>
        <v>1451582.3460931433</v>
      </c>
      <c r="F59" s="234">
        <f t="shared" si="4"/>
        <v>7324073.9971150579</v>
      </c>
      <c r="G59" s="234">
        <f t="shared" si="10"/>
        <v>4678446.5869710734</v>
      </c>
      <c r="H59" s="234">
        <f t="shared" si="5"/>
        <v>1237508.1781278511</v>
      </c>
      <c r="I59" s="234">
        <f t="shared" si="6"/>
        <v>3574693.2648933171</v>
      </c>
      <c r="J59" s="234">
        <f t="shared" si="7"/>
        <v>296125.89753568708</v>
      </c>
      <c r="K59" s="234">
        <f t="shared" si="8"/>
        <v>191081.72477446726</v>
      </c>
      <c r="L59" s="234">
        <f t="shared" si="9"/>
        <v>232625.7430772339</v>
      </c>
      <c r="M59" s="91">
        <f t="shared" si="11"/>
        <v>19215197.524680212</v>
      </c>
    </row>
    <row r="60" spans="1:13" ht="13">
      <c r="A60" s="572">
        <f t="shared" si="0"/>
        <v>36</v>
      </c>
      <c r="B60" s="231" t="s">
        <v>197</v>
      </c>
      <c r="C60" s="232">
        <f>SUM(C48:C59)</f>
        <v>0</v>
      </c>
      <c r="D60" s="232">
        <f t="shared" ref="D60:L60" si="12">SUM(D48:D59)</f>
        <v>2745432.4244472296</v>
      </c>
      <c r="E60" s="232">
        <f t="shared" si="12"/>
        <v>17013588.407805074</v>
      </c>
      <c r="F60" s="232">
        <f t="shared" si="12"/>
        <v>86593560.157180578</v>
      </c>
      <c r="G60" s="232">
        <f t="shared" si="12"/>
        <v>55732408.17020122</v>
      </c>
      <c r="H60" s="232">
        <f t="shared" si="12"/>
        <v>14614146.312736873</v>
      </c>
      <c r="I60" s="232">
        <f t="shared" si="12"/>
        <v>41365490.537819423</v>
      </c>
      <c r="J60" s="232">
        <f t="shared" si="12"/>
        <v>3318089.182765347</v>
      </c>
      <c r="K60" s="232">
        <f t="shared" si="12"/>
        <v>2851650.4508601767</v>
      </c>
      <c r="L60" s="232">
        <f t="shared" si="12"/>
        <v>2756010.3139173212</v>
      </c>
      <c r="M60" s="7"/>
    </row>
    <row r="61" spans="1:13" ht="13">
      <c r="A61" s="572">
        <f t="shared" si="0"/>
        <v>37</v>
      </c>
      <c r="B61" s="230"/>
      <c r="C61" s="230"/>
      <c r="D61" s="230"/>
      <c r="E61" s="230"/>
      <c r="F61" s="230"/>
      <c r="G61" s="230"/>
      <c r="H61" s="230"/>
      <c r="I61" s="230"/>
      <c r="J61" s="230"/>
      <c r="K61" s="230"/>
      <c r="L61" s="474" t="s">
        <v>973</v>
      </c>
      <c r="M61" s="232">
        <f>SUM(M48:M59)</f>
        <v>226990375.95773327</v>
      </c>
    </row>
    <row r="62" spans="1:13" ht="13">
      <c r="A62" s="572">
        <f t="shared" si="0"/>
        <v>38</v>
      </c>
      <c r="B62" s="230"/>
      <c r="C62" s="230"/>
      <c r="D62" s="230"/>
      <c r="E62" s="230"/>
      <c r="F62" s="230"/>
      <c r="G62" s="230"/>
      <c r="H62" s="230"/>
      <c r="I62" s="230"/>
      <c r="J62" s="230"/>
      <c r="K62" s="230"/>
      <c r="L62" s="734" t="s">
        <v>974</v>
      </c>
      <c r="M62" s="230"/>
    </row>
    <row r="63" spans="1:13" ht="13">
      <c r="A63" s="572">
        <f t="shared" si="0"/>
        <v>39</v>
      </c>
      <c r="B63" s="1" t="s">
        <v>1010</v>
      </c>
      <c r="C63" s="230"/>
      <c r="D63" s="230"/>
      <c r="E63" s="230"/>
      <c r="F63" s="230"/>
      <c r="G63" s="230"/>
      <c r="H63" s="230"/>
      <c r="I63" s="230"/>
      <c r="J63" s="230"/>
      <c r="K63" s="230"/>
      <c r="L63" s="230"/>
      <c r="M63" s="230"/>
    </row>
    <row r="64" spans="1:13" ht="13">
      <c r="A64" s="572">
        <f t="shared" si="0"/>
        <v>40</v>
      </c>
      <c r="B64" s="230"/>
      <c r="C64" s="230"/>
      <c r="D64" s="230"/>
      <c r="E64" s="230"/>
      <c r="F64" s="230"/>
      <c r="G64" s="230"/>
      <c r="H64" s="230"/>
      <c r="I64" s="230"/>
      <c r="J64" s="230"/>
      <c r="K64" s="230"/>
      <c r="L64" s="230"/>
      <c r="M64" s="230"/>
    </row>
    <row r="65" spans="1:13" ht="13">
      <c r="A65" s="572">
        <f t="shared" si="0"/>
        <v>41</v>
      </c>
      <c r="B65" s="230"/>
      <c r="C65" s="230"/>
      <c r="D65" s="84">
        <v>360</v>
      </c>
      <c r="E65" s="84">
        <v>361</v>
      </c>
      <c r="F65" s="84">
        <v>362</v>
      </c>
      <c r="G65" s="230"/>
      <c r="H65" s="51" t="s">
        <v>179</v>
      </c>
      <c r="I65" s="3"/>
      <c r="J65" s="230"/>
      <c r="K65" s="230"/>
      <c r="L65" s="230"/>
      <c r="M65" s="230"/>
    </row>
    <row r="66" spans="1:13" ht="13">
      <c r="A66" s="572">
        <f t="shared" si="0"/>
        <v>42</v>
      </c>
      <c r="B66" s="476" t="s">
        <v>1011</v>
      </c>
      <c r="C66" s="230"/>
      <c r="D66" s="234">
        <f>'6-PlantInService'!C34</f>
        <v>0</v>
      </c>
      <c r="E66" s="234">
        <f>'6-PlantInService'!D34</f>
        <v>0</v>
      </c>
      <c r="F66" s="234">
        <f>'6-PlantInService'!E34</f>
        <v>0</v>
      </c>
      <c r="G66" s="239"/>
      <c r="H66" s="478" t="s">
        <v>2179</v>
      </c>
      <c r="I66" s="480"/>
      <c r="J66" s="230"/>
      <c r="K66" s="230"/>
      <c r="L66" s="230"/>
      <c r="M66" s="230"/>
    </row>
    <row r="67" spans="1:13" ht="13">
      <c r="A67" s="572">
        <f t="shared" si="0"/>
        <v>43</v>
      </c>
      <c r="B67" s="476" t="s">
        <v>1012</v>
      </c>
      <c r="C67" s="230"/>
      <c r="D67" s="459">
        <f>'6-PlantInService'!C35</f>
        <v>0</v>
      </c>
      <c r="E67" s="459">
        <f>'6-PlantInService'!D35</f>
        <v>0</v>
      </c>
      <c r="F67" s="459">
        <f>'6-PlantInService'!E35</f>
        <v>0</v>
      </c>
      <c r="G67" s="239"/>
      <c r="H67" s="478" t="s">
        <v>2180</v>
      </c>
      <c r="I67" s="230"/>
      <c r="J67" s="230"/>
      <c r="K67" s="230"/>
      <c r="M67" s="230"/>
    </row>
    <row r="68" spans="1:13" ht="13">
      <c r="A68" s="572">
        <f t="shared" si="0"/>
        <v>44</v>
      </c>
      <c r="B68" s="476" t="s">
        <v>1013</v>
      </c>
      <c r="C68" s="230"/>
      <c r="D68" s="234">
        <f>AVERAGE(D66:D67)</f>
        <v>0</v>
      </c>
      <c r="E68" s="234">
        <f>AVERAGE(E66:E67)</f>
        <v>0</v>
      </c>
      <c r="F68" s="234">
        <f>AVERAGE(F66:F67)</f>
        <v>0</v>
      </c>
      <c r="G68" s="239"/>
      <c r="H68" s="955"/>
      <c r="I68" s="480"/>
      <c r="J68" s="230"/>
      <c r="K68" s="230"/>
      <c r="M68" s="230"/>
    </row>
    <row r="69" spans="1:13" ht="13">
      <c r="A69" s="572">
        <f t="shared" si="0"/>
        <v>45</v>
      </c>
      <c r="D69" s="14"/>
      <c r="E69" s="14"/>
      <c r="F69" s="14"/>
      <c r="G69" s="14"/>
      <c r="H69" s="14"/>
      <c r="J69" s="230"/>
      <c r="K69" s="230"/>
      <c r="M69" s="230"/>
    </row>
    <row r="70" spans="1:13" ht="13">
      <c r="A70" s="572">
        <f t="shared" si="0"/>
        <v>46</v>
      </c>
      <c r="B70" s="634" t="s">
        <v>1779</v>
      </c>
      <c r="C70" s="230"/>
      <c r="D70" s="239"/>
      <c r="E70" s="239"/>
      <c r="F70" s="14"/>
      <c r="G70" s="14"/>
      <c r="H70" s="14"/>
      <c r="J70" s="239"/>
      <c r="K70" s="239"/>
      <c r="L70" s="234"/>
      <c r="M70" s="230"/>
    </row>
    <row r="71" spans="1:13" ht="13">
      <c r="A71" s="572">
        <f t="shared" si="0"/>
        <v>47</v>
      </c>
      <c r="B71" s="230"/>
      <c r="D71" s="358">
        <v>360</v>
      </c>
      <c r="E71" s="358">
        <v>361</v>
      </c>
      <c r="F71" s="358">
        <v>362</v>
      </c>
      <c r="G71" s="14"/>
      <c r="H71" s="14"/>
      <c r="J71" s="239"/>
      <c r="K71" s="239"/>
      <c r="L71" s="234"/>
      <c r="M71" s="230"/>
    </row>
    <row r="72" spans="1:13" ht="13">
      <c r="A72" s="572">
        <f t="shared" si="0"/>
        <v>48</v>
      </c>
      <c r="D72" s="240">
        <f>'18-DepRates'!$G20</f>
        <v>1.67E-2</v>
      </c>
      <c r="E72" s="516">
        <f>'18-DepRates'!$G21</f>
        <v>2.2700000000000001E-2</v>
      </c>
      <c r="F72" s="516">
        <f>'18-DepRates'!$G22</f>
        <v>1.9E-2</v>
      </c>
      <c r="G72" s="14"/>
      <c r="H72" s="14"/>
      <c r="J72" s="239"/>
      <c r="K72" s="239"/>
      <c r="L72" s="234"/>
      <c r="M72" s="230"/>
    </row>
    <row r="73" spans="1:13" ht="13">
      <c r="A73" s="572">
        <f t="shared" si="0"/>
        <v>49</v>
      </c>
      <c r="D73" s="14"/>
      <c r="E73" s="1283"/>
      <c r="F73" s="1283"/>
      <c r="G73" s="14"/>
      <c r="H73" s="14"/>
      <c r="J73" s="239"/>
      <c r="K73" s="239"/>
      <c r="L73" s="110"/>
      <c r="M73" s="230"/>
    </row>
    <row r="74" spans="1:13" ht="13">
      <c r="A74" s="572">
        <f t="shared" si="0"/>
        <v>50</v>
      </c>
      <c r="B74" t="s">
        <v>362</v>
      </c>
      <c r="D74" s="14"/>
      <c r="E74" s="14"/>
      <c r="F74" s="478" t="s">
        <v>1695</v>
      </c>
      <c r="G74" s="14"/>
      <c r="H74" s="14"/>
      <c r="J74" s="239"/>
      <c r="K74" s="239"/>
      <c r="L74" s="240"/>
      <c r="M74" s="230"/>
    </row>
    <row r="75" spans="1:13" ht="13">
      <c r="A75" s="572">
        <f t="shared" si="0"/>
        <v>51</v>
      </c>
      <c r="J75" s="239"/>
      <c r="K75" s="239"/>
      <c r="L75" s="240"/>
      <c r="M75" s="230"/>
    </row>
    <row r="76" spans="1:13" ht="13">
      <c r="A76" s="572">
        <f t="shared" si="0"/>
        <v>52</v>
      </c>
      <c r="D76" s="84">
        <v>360</v>
      </c>
      <c r="E76" s="84">
        <v>361</v>
      </c>
      <c r="F76" s="84">
        <v>362</v>
      </c>
      <c r="G76" s="367" t="s">
        <v>196</v>
      </c>
      <c r="J76" s="239"/>
      <c r="K76" s="239"/>
      <c r="L76" s="240"/>
      <c r="M76" s="230"/>
    </row>
    <row r="77" spans="1:13" ht="13">
      <c r="A77" s="572">
        <f t="shared" ref="A77:A90" si="13">A76+1</f>
        <v>53</v>
      </c>
      <c r="D77" s="7">
        <f xml:space="preserve"> D68*D72</f>
        <v>0</v>
      </c>
      <c r="E77" s="7">
        <f xml:space="preserve"> E68*E72</f>
        <v>0</v>
      </c>
      <c r="F77" s="7">
        <f xml:space="preserve"> F68*F72</f>
        <v>0</v>
      </c>
      <c r="G77" s="7">
        <f>SUM(D77:F77)</f>
        <v>0</v>
      </c>
      <c r="H77" s="16" t="s">
        <v>1014</v>
      </c>
      <c r="J77" s="239"/>
      <c r="K77" s="239"/>
      <c r="L77" s="234"/>
      <c r="M77" s="230"/>
    </row>
    <row r="78" spans="1:13" ht="13">
      <c r="A78" s="572">
        <f t="shared" si="13"/>
        <v>54</v>
      </c>
      <c r="H78" s="16" t="s">
        <v>1015</v>
      </c>
      <c r="J78" s="239"/>
      <c r="K78" s="239"/>
      <c r="L78" s="239"/>
      <c r="M78" s="230"/>
    </row>
    <row r="79" spans="1:13" ht="13">
      <c r="A79" s="572">
        <f t="shared" si="13"/>
        <v>55</v>
      </c>
      <c r="J79" s="239"/>
      <c r="K79" s="239"/>
      <c r="L79" s="239"/>
      <c r="M79" s="230"/>
    </row>
    <row r="80" spans="1:13" ht="13">
      <c r="A80" s="572">
        <f t="shared" si="13"/>
        <v>56</v>
      </c>
      <c r="B80" s="1" t="s">
        <v>1016</v>
      </c>
      <c r="J80" s="239"/>
      <c r="K80" s="239"/>
      <c r="L80" s="239"/>
      <c r="M80" s="230"/>
    </row>
    <row r="81" spans="1:13" ht="13">
      <c r="A81" s="572">
        <f t="shared" si="13"/>
        <v>57</v>
      </c>
      <c r="B81" s="230"/>
      <c r="C81" s="230"/>
      <c r="D81" s="230"/>
      <c r="E81" s="230"/>
      <c r="F81" s="230"/>
      <c r="G81" s="230"/>
      <c r="H81" s="230"/>
      <c r="I81" s="230"/>
      <c r="J81" s="230"/>
      <c r="K81" s="230"/>
      <c r="L81" s="230"/>
      <c r="M81" s="230"/>
    </row>
    <row r="82" spans="1:13" ht="13">
      <c r="A82" s="572">
        <f t="shared" si="13"/>
        <v>58</v>
      </c>
      <c r="B82" s="549" t="s">
        <v>975</v>
      </c>
      <c r="C82" s="230"/>
      <c r="D82" s="230"/>
      <c r="E82" s="230"/>
      <c r="F82" s="230"/>
      <c r="G82" s="230"/>
      <c r="H82" s="368">
        <v>235636576</v>
      </c>
      <c r="I82" s="480" t="s">
        <v>977</v>
      </c>
      <c r="J82" s="230"/>
      <c r="K82" s="230"/>
      <c r="L82" s="230"/>
      <c r="M82" s="230"/>
    </row>
    <row r="83" spans="1:13" ht="13">
      <c r="A83" s="572">
        <f t="shared" si="13"/>
        <v>59</v>
      </c>
      <c r="B83" s="476" t="s">
        <v>976</v>
      </c>
      <c r="C83" s="230"/>
      <c r="D83" s="230"/>
      <c r="E83" s="230"/>
      <c r="F83" s="230"/>
      <c r="G83" s="230"/>
      <c r="H83" s="98">
        <v>193129519</v>
      </c>
      <c r="I83" s="480" t="s">
        <v>978</v>
      </c>
      <c r="J83" s="230"/>
      <c r="K83" s="230"/>
      <c r="L83" s="230"/>
      <c r="M83" s="230"/>
    </row>
    <row r="84" spans="1:13" ht="13">
      <c r="A84" s="572">
        <f t="shared" si="13"/>
        <v>60</v>
      </c>
      <c r="B84" s="549" t="s">
        <v>979</v>
      </c>
      <c r="C84" s="230"/>
      <c r="D84" s="230"/>
      <c r="E84" s="230"/>
      <c r="F84" s="230"/>
      <c r="G84" s="230"/>
      <c r="H84" s="232">
        <f>SUM(H82:H83)</f>
        <v>428766095</v>
      </c>
      <c r="I84" s="480" t="str">
        <f>"Line "&amp;A82&amp;" + Line "&amp;A83&amp;""</f>
        <v>Line 58 + Line 59</v>
      </c>
      <c r="J84" s="230"/>
      <c r="K84" s="230"/>
      <c r="L84" s="230"/>
      <c r="M84" s="230"/>
    </row>
    <row r="85" spans="1:13" ht="13">
      <c r="A85" s="572">
        <f t="shared" si="13"/>
        <v>61</v>
      </c>
      <c r="B85" s="549" t="s">
        <v>93</v>
      </c>
      <c r="C85" s="230"/>
      <c r="D85" s="230"/>
      <c r="E85" s="230"/>
      <c r="F85" s="230"/>
      <c r="G85" s="230"/>
      <c r="H85" s="246">
        <f>'27-Allocators'!G10</f>
        <v>6.5693761162178274E-2</v>
      </c>
      <c r="I85" s="112" t="str">
        <f>"27-Allocators, Line "&amp;'27-Allocators'!A10&amp;""</f>
        <v>27-Allocators, Line 5</v>
      </c>
      <c r="J85" s="230"/>
      <c r="K85" s="230"/>
      <c r="L85" s="230"/>
      <c r="M85" s="230"/>
    </row>
    <row r="86" spans="1:13" ht="13">
      <c r="A86" s="572">
        <f t="shared" si="13"/>
        <v>62</v>
      </c>
      <c r="B86" s="549" t="s">
        <v>980</v>
      </c>
      <c r="C86" s="230"/>
      <c r="D86" s="230"/>
      <c r="E86" s="230"/>
      <c r="F86" s="230"/>
      <c r="G86" s="230"/>
      <c r="H86" s="232">
        <f>H84*H85</f>
        <v>28167257.439369839</v>
      </c>
      <c r="I86" s="480" t="str">
        <f>"Line "&amp;A84&amp;" * Line "&amp;A85&amp;""</f>
        <v>Line 60 * Line 61</v>
      </c>
      <c r="J86" s="230"/>
      <c r="K86" s="230"/>
      <c r="L86" s="230"/>
      <c r="M86" s="230"/>
    </row>
    <row r="87" spans="1:13" ht="13">
      <c r="A87" s="572">
        <f t="shared" si="13"/>
        <v>63</v>
      </c>
      <c r="B87" s="549"/>
      <c r="C87" s="476"/>
      <c r="D87" s="230"/>
      <c r="E87" s="230"/>
      <c r="F87" s="230"/>
      <c r="G87" s="230"/>
      <c r="H87" s="230"/>
      <c r="I87" s="230"/>
      <c r="J87" s="230"/>
      <c r="K87" s="230"/>
      <c r="L87" s="230"/>
      <c r="M87" s="230"/>
    </row>
    <row r="88" spans="1:13" ht="13">
      <c r="A88" s="572">
        <f t="shared" si="13"/>
        <v>64</v>
      </c>
      <c r="B88" s="83" t="s">
        <v>1664</v>
      </c>
      <c r="C88" s="230"/>
      <c r="D88" s="230"/>
      <c r="E88" s="230"/>
      <c r="F88" s="230"/>
      <c r="G88" s="230"/>
      <c r="H88" s="230"/>
      <c r="I88" s="230"/>
      <c r="J88" s="230"/>
      <c r="K88" s="230"/>
      <c r="L88" s="230"/>
      <c r="M88" s="230"/>
    </row>
    <row r="89" spans="1:13" ht="13">
      <c r="A89" s="572">
        <f t="shared" si="13"/>
        <v>65</v>
      </c>
      <c r="B89" s="549"/>
      <c r="C89" s="476"/>
      <c r="D89" s="230"/>
      <c r="E89" s="230"/>
      <c r="F89" s="230"/>
      <c r="G89" s="230"/>
      <c r="H89" s="230"/>
      <c r="I89" s="230"/>
      <c r="J89" s="230"/>
      <c r="K89" s="230"/>
      <c r="L89" s="230"/>
      <c r="M89" s="230"/>
    </row>
    <row r="90" spans="1:13" ht="13">
      <c r="A90" s="572">
        <f t="shared" si="13"/>
        <v>66</v>
      </c>
      <c r="B90" s="549" t="s">
        <v>1663</v>
      </c>
      <c r="C90" s="230"/>
      <c r="D90" s="230"/>
      <c r="E90" s="230"/>
      <c r="F90" s="3" t="s">
        <v>175</v>
      </c>
      <c r="G90" s="3" t="s">
        <v>179</v>
      </c>
      <c r="H90" s="230"/>
      <c r="I90" s="230"/>
    </row>
    <row r="91" spans="1:13" ht="13">
      <c r="A91" s="572">
        <f>A90+1</f>
        <v>67</v>
      </c>
      <c r="B91" s="480" t="s">
        <v>966</v>
      </c>
      <c r="C91" s="230"/>
      <c r="D91" s="230"/>
      <c r="E91" s="230"/>
      <c r="F91" s="232">
        <f>M61</f>
        <v>226990375.95773327</v>
      </c>
      <c r="G91" s="480" t="str">
        <f>"Line "&amp;A61&amp;", Col 12"</f>
        <v>Line 37, Col 12</v>
      </c>
      <c r="H91" s="230"/>
      <c r="I91" s="230"/>
    </row>
    <row r="92" spans="1:13" ht="13">
      <c r="A92" s="572">
        <f>A91+1</f>
        <v>68</v>
      </c>
      <c r="B92" s="480" t="s">
        <v>982</v>
      </c>
      <c r="C92" s="230"/>
      <c r="D92" s="230"/>
      <c r="E92" s="230"/>
      <c r="F92" s="232">
        <f>G77</f>
        <v>0</v>
      </c>
      <c r="G92" s="480" t="str">
        <f>"Line "&amp;A77&amp;""</f>
        <v>Line 53</v>
      </c>
      <c r="H92" s="230"/>
      <c r="I92" s="230"/>
    </row>
    <row r="93" spans="1:13" ht="13">
      <c r="A93" s="572">
        <f>A92+1</f>
        <v>69</v>
      </c>
      <c r="B93" s="480" t="s">
        <v>981</v>
      </c>
      <c r="C93" s="230"/>
      <c r="D93" s="230"/>
      <c r="E93" s="230"/>
      <c r="F93" s="91">
        <f>H86</f>
        <v>28167257.439369839</v>
      </c>
      <c r="G93" s="480" t="str">
        <f>"Line "&amp;A86&amp;""</f>
        <v>Line 62</v>
      </c>
      <c r="H93" s="230"/>
      <c r="I93" s="230"/>
    </row>
    <row r="94" spans="1:13" ht="13">
      <c r="A94" s="572">
        <f>A93+1</f>
        <v>70</v>
      </c>
      <c r="B94" s="230"/>
      <c r="C94" s="230"/>
      <c r="D94" s="230"/>
      <c r="E94" s="231" t="s">
        <v>1017</v>
      </c>
      <c r="F94" s="232">
        <f>SUM(F91:F93)</f>
        <v>255157633.3971031</v>
      </c>
      <c r="G94" s="480" t="str">
        <f>"Line "&amp;A91&amp;" + Line "&amp;A92&amp;" + Line "&amp;A93&amp;""</f>
        <v>Line 67 + Line 68 + Line 69</v>
      </c>
      <c r="H94" s="230"/>
      <c r="I94" s="230"/>
    </row>
    <row r="95" spans="1:13" ht="13">
      <c r="A95" s="230"/>
      <c r="B95" s="1" t="s">
        <v>230</v>
      </c>
      <c r="C95" s="230"/>
      <c r="D95" s="230"/>
      <c r="E95" s="230"/>
      <c r="F95" s="230"/>
      <c r="G95" s="230"/>
      <c r="H95" s="230"/>
      <c r="I95" s="230"/>
    </row>
    <row r="96" spans="1:13">
      <c r="A96" s="230"/>
      <c r="B96" s="476" t="s">
        <v>1424</v>
      </c>
      <c r="C96" s="230"/>
      <c r="D96" s="230"/>
      <c r="E96" s="230"/>
      <c r="F96" s="230"/>
      <c r="G96" s="230"/>
      <c r="H96" s="230"/>
      <c r="I96" s="230"/>
    </row>
    <row r="97" spans="1:10">
      <c r="A97" s="230"/>
      <c r="B97" s="478" t="str">
        <f>"same account, times the Monthly Depreciation Rate for that account.  Monthly rate = annual rates on Line "&amp;A29&amp;" etc. divided by 12."</f>
        <v>same account, times the Monthly Depreciation Rate for that account.  Monthly rate = annual rates on Line 17a etc. divided by 12.</v>
      </c>
      <c r="C97" s="239"/>
      <c r="D97" s="239"/>
      <c r="E97" s="239"/>
      <c r="F97" s="239"/>
      <c r="G97" s="239"/>
      <c r="H97" s="239"/>
      <c r="I97" s="239"/>
      <c r="J97" s="14"/>
    </row>
    <row r="98" spans="1:10">
      <c r="A98" s="230"/>
      <c r="B98" s="478" t="str">
        <f>"2) Depreciation Expense for each account is equal to the Average BOY/EOY value on Line "&amp;A68&amp;" times the"</f>
        <v>2) Depreciation Expense for each account is equal to the Average BOY/EOY value on Line 44 times the</v>
      </c>
      <c r="C98" s="239"/>
      <c r="D98" s="239"/>
      <c r="E98" s="239"/>
      <c r="F98" s="239"/>
      <c r="G98" s="239"/>
      <c r="H98" s="239"/>
      <c r="I98" s="239"/>
      <c r="J98" s="14"/>
    </row>
    <row r="99" spans="1:10">
      <c r="B99" s="478" t="str">
        <f>"Depreciation Rate on Line "&amp;A72&amp;"."</f>
        <v>Depreciation Rate on Line 48.</v>
      </c>
      <c r="C99" s="14"/>
      <c r="D99" s="14"/>
      <c r="E99" s="14"/>
      <c r="F99" s="14"/>
      <c r="G99" s="14"/>
      <c r="H99" s="14"/>
      <c r="I99" s="14"/>
      <c r="J99" s="14"/>
    </row>
    <row r="100" spans="1:10" ht="13">
      <c r="B100" s="44" t="s">
        <v>378</v>
      </c>
      <c r="C100" s="14"/>
      <c r="D100" s="14"/>
      <c r="E100" s="14"/>
      <c r="F100" s="14"/>
      <c r="G100" s="14"/>
      <c r="H100" s="14"/>
      <c r="I100" s="14"/>
      <c r="J100" s="14"/>
    </row>
    <row r="101" spans="1:10">
      <c r="B101" s="1290" t="s">
        <v>2623</v>
      </c>
      <c r="C101" s="14"/>
      <c r="D101" s="14"/>
      <c r="E101" s="14"/>
      <c r="F101" s="14"/>
      <c r="G101" s="14"/>
      <c r="H101" s="14"/>
      <c r="I101" s="14"/>
      <c r="J101" s="14"/>
    </row>
    <row r="102" spans="1:10">
      <c r="B102" s="478" t="s">
        <v>2622</v>
      </c>
      <c r="C102" s="14"/>
      <c r="D102" s="14"/>
      <c r="E102" s="14"/>
      <c r="F102" s="14"/>
      <c r="G102" s="14"/>
      <c r="H102" s="14"/>
      <c r="I102" s="14"/>
      <c r="J102" s="14"/>
    </row>
    <row r="103" spans="1:10">
      <c r="B103" s="478" t="s">
        <v>1766</v>
      </c>
      <c r="C103" s="14"/>
      <c r="D103" s="14"/>
      <c r="E103" s="14"/>
      <c r="F103" s="14"/>
      <c r="G103" s="14"/>
      <c r="H103" s="14"/>
      <c r="I103" s="14"/>
      <c r="J103" s="14"/>
    </row>
    <row r="104" spans="1:10">
      <c r="B104" s="478"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c r="C104" s="14"/>
      <c r="D104" s="14"/>
      <c r="E104" s="14"/>
      <c r="F104" s="14"/>
      <c r="G104" s="14"/>
      <c r="H104" s="14"/>
      <c r="I104" s="14"/>
      <c r="J104" s="14"/>
    </row>
  </sheetData>
  <pageMargins left="0.7" right="0.7" top="0.75" bottom="0.75" header="0.3" footer="0.3"/>
  <pageSetup scale="63" orientation="landscape" cellComments="asDisplayed" r:id="rId1"/>
  <headerFooter>
    <oddHeader>&amp;CSchedule 17
Depreciation Expense
&amp;RTO2021 Annual Update
Attachment 5
TO2018 True Up TRR</oddHeader>
    <oddFooter>&amp;R17-Depreciation</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P66"/>
  <sheetViews>
    <sheetView zoomScaleNormal="100" workbookViewId="0"/>
  </sheetViews>
  <sheetFormatPr defaultColWidth="8.54296875" defaultRowHeight="12.5"/>
  <cols>
    <col min="1" max="1" width="4.54296875" style="1048" customWidth="1"/>
    <col min="2" max="3" width="8.54296875" style="1048"/>
    <col min="4" max="4" width="38.54296875" style="1048" customWidth="1"/>
    <col min="5" max="7" width="8.54296875" style="476"/>
    <col min="8" max="8" width="3.54296875" style="1048" customWidth="1"/>
    <col min="9" max="16384" width="8.54296875" style="1048"/>
  </cols>
  <sheetData>
    <row r="1" spans="1:16" ht="13">
      <c r="A1" s="394" t="s">
        <v>1018</v>
      </c>
      <c r="B1" s="476"/>
      <c r="C1" s="476"/>
      <c r="D1" s="476"/>
      <c r="P1" s="1048" t="s">
        <v>2478</v>
      </c>
    </row>
    <row r="2" spans="1:16">
      <c r="A2" s="476"/>
      <c r="B2" s="476"/>
      <c r="C2" s="476"/>
      <c r="D2" s="476"/>
    </row>
    <row r="3" spans="1:16" ht="13">
      <c r="A3" s="476"/>
      <c r="B3" s="394" t="s">
        <v>321</v>
      </c>
      <c r="C3" s="476"/>
      <c r="D3" s="476"/>
      <c r="E3" s="572" t="s">
        <v>372</v>
      </c>
      <c r="F3" s="572"/>
      <c r="G3" s="572"/>
      <c r="I3" s="1276"/>
      <c r="K3" s="1276"/>
    </row>
    <row r="4" spans="1:16" ht="13">
      <c r="A4" s="476"/>
      <c r="B4" s="476"/>
      <c r="C4" s="233" t="s">
        <v>12</v>
      </c>
      <c r="D4" s="476"/>
      <c r="E4" s="572" t="s">
        <v>1019</v>
      </c>
      <c r="F4" s="4" t="s">
        <v>1020</v>
      </c>
      <c r="G4" s="4"/>
      <c r="I4" s="1276"/>
      <c r="J4" s="1277"/>
      <c r="K4" s="1277"/>
    </row>
    <row r="5" spans="1:16" ht="13">
      <c r="A5" s="51" t="s">
        <v>330</v>
      </c>
      <c r="B5" s="476"/>
      <c r="C5" s="367" t="s">
        <v>99</v>
      </c>
      <c r="D5" s="367" t="s">
        <v>100</v>
      </c>
      <c r="E5" s="3" t="s">
        <v>1021</v>
      </c>
      <c r="F5" s="3" t="s">
        <v>1022</v>
      </c>
      <c r="G5" s="3" t="s">
        <v>196</v>
      </c>
      <c r="I5" s="1278"/>
      <c r="J5" s="1278"/>
      <c r="K5" s="1278"/>
    </row>
    <row r="6" spans="1:16" ht="15" customHeight="1">
      <c r="A6" s="572">
        <v>1</v>
      </c>
      <c r="B6" s="476"/>
      <c r="C6" s="734">
        <v>350.1</v>
      </c>
      <c r="D6" s="480" t="s">
        <v>1023</v>
      </c>
      <c r="E6" s="516">
        <v>0</v>
      </c>
      <c r="F6" s="516">
        <v>0</v>
      </c>
      <c r="G6" s="516">
        <v>0</v>
      </c>
      <c r="I6" s="1279"/>
      <c r="J6" s="1279"/>
      <c r="K6" s="1279"/>
    </row>
    <row r="7" spans="1:16" ht="15" customHeight="1">
      <c r="A7" s="572">
        <f>A6+1</f>
        <v>2</v>
      </c>
      <c r="B7" s="476"/>
      <c r="C7" s="734">
        <v>350.2</v>
      </c>
      <c r="D7" s="480" t="s">
        <v>1024</v>
      </c>
      <c r="E7" s="516">
        <v>1.66E-2</v>
      </c>
      <c r="F7" s="516">
        <v>0</v>
      </c>
      <c r="G7" s="516">
        <v>1.66E-2</v>
      </c>
      <c r="I7" s="1279"/>
      <c r="J7" s="1279"/>
      <c r="K7" s="1279"/>
    </row>
    <row r="8" spans="1:16" ht="13">
      <c r="A8" s="572">
        <f t="shared" ref="A8:A16" si="0">A7+1</f>
        <v>3</v>
      </c>
      <c r="B8" s="476"/>
      <c r="C8" s="734">
        <v>352</v>
      </c>
      <c r="D8" s="480" t="s">
        <v>1025</v>
      </c>
      <c r="E8" s="516">
        <v>1.7999999999999999E-2</v>
      </c>
      <c r="F8" s="516">
        <v>7.7000000000000002E-3</v>
      </c>
      <c r="G8" s="516">
        <v>2.5700000000000001E-2</v>
      </c>
      <c r="I8" s="1279"/>
      <c r="J8" s="1279"/>
      <c r="K8" s="1279"/>
    </row>
    <row r="9" spans="1:16" ht="13">
      <c r="A9" s="572">
        <f t="shared" si="0"/>
        <v>4</v>
      </c>
      <c r="B9" s="476"/>
      <c r="C9" s="734">
        <v>353</v>
      </c>
      <c r="D9" s="480" t="s">
        <v>1026</v>
      </c>
      <c r="E9" s="516">
        <v>2.1999999999999999E-2</v>
      </c>
      <c r="F9" s="516">
        <v>2.7000000000000001E-3</v>
      </c>
      <c r="G9" s="516">
        <v>2.47E-2</v>
      </c>
      <c r="I9" s="1279"/>
      <c r="J9" s="1279"/>
      <c r="K9" s="1279"/>
    </row>
    <row r="10" spans="1:16" ht="13">
      <c r="A10" s="572">
        <f t="shared" si="0"/>
        <v>5</v>
      </c>
      <c r="B10" s="476"/>
      <c r="C10" s="734">
        <v>354</v>
      </c>
      <c r="D10" s="480" t="s">
        <v>1193</v>
      </c>
      <c r="E10" s="516">
        <v>1.35E-2</v>
      </c>
      <c r="F10" s="516">
        <v>1.09E-2</v>
      </c>
      <c r="G10" s="516">
        <v>2.4400000000000002E-2</v>
      </c>
      <c r="I10" s="1279"/>
      <c r="J10" s="1279"/>
      <c r="K10" s="1279"/>
    </row>
    <row r="11" spans="1:16" ht="13">
      <c r="A11" s="572">
        <f t="shared" si="0"/>
        <v>6</v>
      </c>
      <c r="B11" s="476"/>
      <c r="C11" s="734">
        <v>355</v>
      </c>
      <c r="D11" s="480" t="s">
        <v>1027</v>
      </c>
      <c r="E11" s="516">
        <v>0.02</v>
      </c>
      <c r="F11" s="516">
        <v>1.67E-2</v>
      </c>
      <c r="G11" s="516">
        <v>3.6700000000000003E-2</v>
      </c>
      <c r="I11" s="1279"/>
      <c r="J11" s="1279"/>
      <c r="K11" s="1279"/>
    </row>
    <row r="12" spans="1:16" ht="13">
      <c r="A12" s="572">
        <f t="shared" si="0"/>
        <v>7</v>
      </c>
      <c r="B12" s="476"/>
      <c r="C12" s="734">
        <v>356</v>
      </c>
      <c r="D12" s="480" t="s">
        <v>1028</v>
      </c>
      <c r="E12" s="516">
        <v>0.02</v>
      </c>
      <c r="F12" s="516">
        <v>1.0500000000000001E-2</v>
      </c>
      <c r="G12" s="516">
        <v>3.0499999999999999E-2</v>
      </c>
      <c r="I12" s="1279"/>
      <c r="J12" s="1279"/>
      <c r="K12" s="1279"/>
    </row>
    <row r="13" spans="1:16" ht="13">
      <c r="A13" s="572">
        <f t="shared" si="0"/>
        <v>8</v>
      </c>
      <c r="B13" s="476"/>
      <c r="C13" s="734">
        <v>357</v>
      </c>
      <c r="D13" s="480" t="s">
        <v>1029</v>
      </c>
      <c r="E13" s="516">
        <v>1.6500000000000001E-2</v>
      </c>
      <c r="F13" s="516">
        <v>0</v>
      </c>
      <c r="G13" s="516">
        <v>1.6500000000000001E-2</v>
      </c>
      <c r="I13" s="1279"/>
      <c r="J13" s="1279"/>
      <c r="K13" s="1279"/>
    </row>
    <row r="14" spans="1:16" ht="13">
      <c r="A14" s="572">
        <f t="shared" si="0"/>
        <v>9</v>
      </c>
      <c r="B14" s="476"/>
      <c r="C14" s="734">
        <v>358</v>
      </c>
      <c r="D14" s="480" t="s">
        <v>1030</v>
      </c>
      <c r="E14" s="516">
        <v>3.2599999999999997E-2</v>
      </c>
      <c r="F14" s="516">
        <v>6.1000000000000004E-3</v>
      </c>
      <c r="G14" s="516">
        <v>3.8699999999999998E-2</v>
      </c>
      <c r="I14" s="1279"/>
      <c r="J14" s="1279"/>
      <c r="K14" s="1279"/>
    </row>
    <row r="15" spans="1:16" ht="13">
      <c r="A15" s="572">
        <f t="shared" si="0"/>
        <v>10</v>
      </c>
      <c r="B15" s="476"/>
      <c r="C15" s="734">
        <v>359</v>
      </c>
      <c r="D15" s="480" t="s">
        <v>1031</v>
      </c>
      <c r="E15" s="516">
        <v>1.5599999999999999E-2</v>
      </c>
      <c r="F15" s="516">
        <v>0</v>
      </c>
      <c r="G15" s="516">
        <v>1.5599999999999999E-2</v>
      </c>
      <c r="I15" s="1279"/>
      <c r="J15" s="1279"/>
      <c r="K15" s="1279"/>
    </row>
    <row r="16" spans="1:16" ht="13">
      <c r="A16" s="572">
        <f t="shared" si="0"/>
        <v>11</v>
      </c>
      <c r="B16" s="476"/>
      <c r="C16" s="476"/>
      <c r="D16" s="476"/>
    </row>
    <row r="17" spans="1:11" ht="13">
      <c r="A17" s="476"/>
      <c r="B17" s="394" t="s">
        <v>322</v>
      </c>
      <c r="C17" s="476"/>
      <c r="D17" s="476"/>
      <c r="E17" s="572" t="s">
        <v>372</v>
      </c>
      <c r="F17" s="572"/>
      <c r="G17" s="572"/>
      <c r="I17" s="1276"/>
      <c r="J17" s="1276"/>
      <c r="K17" s="1276"/>
    </row>
    <row r="18" spans="1:11" ht="13">
      <c r="A18" s="476"/>
      <c r="B18" s="476"/>
      <c r="C18" s="233" t="s">
        <v>12</v>
      </c>
      <c r="D18" s="476"/>
      <c r="E18" s="572" t="s">
        <v>1019</v>
      </c>
      <c r="F18" s="4" t="s">
        <v>1020</v>
      </c>
      <c r="G18" s="4"/>
      <c r="I18" s="1276"/>
      <c r="J18" s="1277"/>
      <c r="K18" s="1277"/>
    </row>
    <row r="19" spans="1:11" ht="13">
      <c r="A19" s="476"/>
      <c r="B19" s="476"/>
      <c r="C19" s="367" t="s">
        <v>99</v>
      </c>
      <c r="D19" s="367" t="s">
        <v>100</v>
      </c>
      <c r="E19" s="3" t="s">
        <v>1021</v>
      </c>
      <c r="F19" s="3" t="s">
        <v>1022</v>
      </c>
      <c r="G19" s="3" t="s">
        <v>196</v>
      </c>
      <c r="I19" s="1278"/>
      <c r="J19" s="1278"/>
      <c r="K19" s="1278"/>
    </row>
    <row r="20" spans="1:11" ht="13">
      <c r="A20" s="572">
        <f>A16+1</f>
        <v>12</v>
      </c>
      <c r="B20" s="476"/>
      <c r="C20" s="476">
        <v>360</v>
      </c>
      <c r="D20" s="480" t="s">
        <v>1032</v>
      </c>
      <c r="E20" s="911">
        <v>1.67E-2</v>
      </c>
      <c r="F20" s="911">
        <v>0</v>
      </c>
      <c r="G20" s="911">
        <v>1.67E-2</v>
      </c>
      <c r="I20" s="911"/>
      <c r="J20" s="911"/>
      <c r="K20" s="911"/>
    </row>
    <row r="21" spans="1:11" ht="13">
      <c r="A21" s="572">
        <f>A20+1</f>
        <v>13</v>
      </c>
      <c r="B21" s="476"/>
      <c r="C21" s="476">
        <v>361</v>
      </c>
      <c r="D21" s="480" t="s">
        <v>1025</v>
      </c>
      <c r="E21" s="911">
        <v>1.7500000000000002E-2</v>
      </c>
      <c r="F21" s="911">
        <v>5.1999999999999998E-3</v>
      </c>
      <c r="G21" s="911">
        <v>2.2700000000000001E-2</v>
      </c>
      <c r="I21" s="911"/>
      <c r="J21" s="1284"/>
      <c r="K21" s="1284"/>
    </row>
    <row r="22" spans="1:11" ht="13">
      <c r="A22" s="572">
        <f>A21+1</f>
        <v>14</v>
      </c>
      <c r="B22" s="476"/>
      <c r="C22" s="476">
        <v>362</v>
      </c>
      <c r="D22" s="480" t="s">
        <v>1026</v>
      </c>
      <c r="E22" s="911">
        <v>1.32E-2</v>
      </c>
      <c r="F22" s="911">
        <v>5.7999999999999996E-3</v>
      </c>
      <c r="G22" s="911">
        <v>1.9E-2</v>
      </c>
      <c r="I22" s="911"/>
      <c r="J22" s="1284"/>
      <c r="K22" s="1284"/>
    </row>
    <row r="23" spans="1:11">
      <c r="A23" s="476"/>
      <c r="B23" s="476"/>
      <c r="C23" s="476"/>
      <c r="D23" s="476"/>
    </row>
    <row r="24" spans="1:11" ht="13">
      <c r="A24" s="476"/>
      <c r="B24" s="394" t="s">
        <v>1033</v>
      </c>
      <c r="C24" s="476"/>
      <c r="D24" s="476"/>
      <c r="E24" s="572" t="s">
        <v>372</v>
      </c>
    </row>
    <row r="25" spans="1:11" ht="13">
      <c r="A25" s="476"/>
      <c r="B25" s="476"/>
      <c r="C25" s="233" t="s">
        <v>12</v>
      </c>
      <c r="D25" s="476"/>
      <c r="E25" s="572" t="s">
        <v>1019</v>
      </c>
      <c r="F25" s="4" t="s">
        <v>1020</v>
      </c>
      <c r="G25" s="4"/>
    </row>
    <row r="26" spans="1:11" ht="13">
      <c r="A26" s="476"/>
      <c r="B26" s="476"/>
      <c r="C26" s="367" t="s">
        <v>99</v>
      </c>
      <c r="D26" s="367" t="s">
        <v>100</v>
      </c>
      <c r="E26" s="3" t="s">
        <v>1021</v>
      </c>
      <c r="F26" s="3" t="s">
        <v>1022</v>
      </c>
      <c r="G26" s="3" t="s">
        <v>196</v>
      </c>
    </row>
    <row r="27" spans="1:11" ht="13">
      <c r="A27" s="572">
        <f>A22+1</f>
        <v>15</v>
      </c>
      <c r="B27" s="476"/>
      <c r="C27" s="476">
        <v>389</v>
      </c>
      <c r="D27" s="480" t="s">
        <v>1032</v>
      </c>
      <c r="E27" s="911">
        <v>1.67E-2</v>
      </c>
      <c r="F27" s="911">
        <v>0</v>
      </c>
      <c r="G27" s="911">
        <v>1.67E-2</v>
      </c>
    </row>
    <row r="28" spans="1:11" ht="13">
      <c r="A28" s="572">
        <f t="shared" ref="A28:A42" si="1">A27+1</f>
        <v>16</v>
      </c>
      <c r="B28" s="476"/>
      <c r="C28" s="476">
        <v>390</v>
      </c>
      <c r="D28" s="480" t="s">
        <v>1025</v>
      </c>
      <c r="E28" s="911">
        <v>1.8099999999999998E-2</v>
      </c>
      <c r="F28" s="911">
        <v>2.7000000000000001E-3</v>
      </c>
      <c r="G28" s="911">
        <v>2.0799999999999999E-2</v>
      </c>
    </row>
    <row r="29" spans="1:11" ht="13">
      <c r="A29" s="572">
        <f t="shared" si="1"/>
        <v>17</v>
      </c>
      <c r="B29" s="476"/>
      <c r="C29" s="476">
        <v>391.1</v>
      </c>
      <c r="D29" s="1384" t="s">
        <v>1034</v>
      </c>
      <c r="E29" s="911">
        <v>0.05</v>
      </c>
      <c r="F29" s="911">
        <v>0</v>
      </c>
      <c r="G29" s="911">
        <v>0.05</v>
      </c>
    </row>
    <row r="30" spans="1:11" ht="13">
      <c r="A30" s="572">
        <f t="shared" si="1"/>
        <v>18</v>
      </c>
      <c r="B30" s="476"/>
      <c r="C30" s="476">
        <v>391.5</v>
      </c>
      <c r="D30" s="1384" t="s">
        <v>1589</v>
      </c>
      <c r="E30" s="911">
        <v>0.2</v>
      </c>
      <c r="F30" s="911">
        <v>0</v>
      </c>
      <c r="G30" s="911">
        <v>0.2</v>
      </c>
    </row>
    <row r="31" spans="1:11" ht="13">
      <c r="A31" s="572">
        <f t="shared" si="1"/>
        <v>19</v>
      </c>
      <c r="B31" s="476"/>
      <c r="C31" s="476">
        <v>391.6</v>
      </c>
      <c r="D31" s="1384" t="s">
        <v>1590</v>
      </c>
      <c r="E31" s="911">
        <v>0.2</v>
      </c>
      <c r="F31" s="911">
        <v>0</v>
      </c>
      <c r="G31" s="911">
        <v>0.2</v>
      </c>
    </row>
    <row r="32" spans="1:11" ht="13">
      <c r="A32" s="572">
        <f t="shared" si="1"/>
        <v>20</v>
      </c>
      <c r="B32" s="476"/>
      <c r="C32" s="476">
        <v>391.2</v>
      </c>
      <c r="D32" s="1384" t="s">
        <v>1591</v>
      </c>
      <c r="E32" s="911">
        <v>0.2</v>
      </c>
      <c r="F32" s="911">
        <v>0</v>
      </c>
      <c r="G32" s="911">
        <v>0.2</v>
      </c>
    </row>
    <row r="33" spans="1:11" ht="13">
      <c r="A33" s="572">
        <f t="shared" si="1"/>
        <v>21</v>
      </c>
      <c r="B33" s="476"/>
      <c r="C33" s="476">
        <v>391.3</v>
      </c>
      <c r="D33" s="1384" t="s">
        <v>1592</v>
      </c>
      <c r="E33" s="911">
        <v>0.2</v>
      </c>
      <c r="F33" s="911">
        <v>0</v>
      </c>
      <c r="G33" s="911">
        <v>0.2</v>
      </c>
    </row>
    <row r="34" spans="1:11" ht="13">
      <c r="A34" s="572">
        <f t="shared" si="1"/>
        <v>22</v>
      </c>
      <c r="B34" s="476"/>
      <c r="C34" s="474">
        <v>391.7</v>
      </c>
      <c r="D34" s="1384" t="s">
        <v>1593</v>
      </c>
      <c r="E34" s="911">
        <v>0.2</v>
      </c>
      <c r="F34" s="911">
        <v>0</v>
      </c>
      <c r="G34" s="911">
        <v>0.2</v>
      </c>
    </row>
    <row r="35" spans="1:11" ht="13">
      <c r="A35" s="572">
        <f t="shared" si="1"/>
        <v>23</v>
      </c>
      <c r="B35" s="476"/>
      <c r="C35" s="474">
        <v>391.4</v>
      </c>
      <c r="D35" s="1384" t="s">
        <v>1594</v>
      </c>
      <c r="E35" s="911">
        <v>0.1429</v>
      </c>
      <c r="F35" s="911">
        <v>0</v>
      </c>
      <c r="G35" s="911">
        <v>0.1429</v>
      </c>
    </row>
    <row r="36" spans="1:11" ht="13">
      <c r="A36" s="572">
        <f t="shared" si="1"/>
        <v>24</v>
      </c>
      <c r="B36" s="476"/>
      <c r="C36" s="476">
        <v>391.4</v>
      </c>
      <c r="D36" s="1384" t="s">
        <v>1595</v>
      </c>
      <c r="E36" s="911">
        <v>0.1</v>
      </c>
      <c r="F36" s="911">
        <v>0</v>
      </c>
      <c r="G36" s="911">
        <v>0.1</v>
      </c>
    </row>
    <row r="37" spans="1:11" ht="13">
      <c r="A37" s="572">
        <f t="shared" si="1"/>
        <v>25</v>
      </c>
      <c r="B37" s="476"/>
      <c r="C37" s="474">
        <v>391.4</v>
      </c>
      <c r="D37" s="1384" t="s">
        <v>1596</v>
      </c>
      <c r="E37" s="911">
        <v>6.6699999999999995E-2</v>
      </c>
      <c r="F37" s="911">
        <v>0</v>
      </c>
      <c r="G37" s="911">
        <v>6.6699999999999995E-2</v>
      </c>
    </row>
    <row r="38" spans="1:11" ht="13">
      <c r="A38" s="572">
        <f t="shared" si="1"/>
        <v>26</v>
      </c>
      <c r="B38" s="476"/>
      <c r="C38" s="474">
        <v>391.4</v>
      </c>
      <c r="D38" s="1384" t="s">
        <v>1597</v>
      </c>
      <c r="E38" s="911">
        <v>0.05</v>
      </c>
      <c r="F38" s="911">
        <v>0</v>
      </c>
      <c r="G38" s="911">
        <v>0.05</v>
      </c>
    </row>
    <row r="39" spans="1:11" ht="14.5">
      <c r="A39" s="572">
        <f t="shared" si="1"/>
        <v>27</v>
      </c>
      <c r="B39" s="476"/>
      <c r="C39" s="474">
        <v>391.4</v>
      </c>
      <c r="D39" s="1384" t="s">
        <v>1598</v>
      </c>
      <c r="E39" s="1284">
        <v>0.2</v>
      </c>
      <c r="F39" s="911">
        <v>0</v>
      </c>
      <c r="G39" s="1284">
        <v>0.2</v>
      </c>
      <c r="I39" s="370"/>
      <c r="J39" s="370"/>
      <c r="K39" s="370"/>
    </row>
    <row r="40" spans="1:11" ht="14.5">
      <c r="A40" s="572">
        <f t="shared" si="1"/>
        <v>28</v>
      </c>
      <c r="B40" s="476"/>
      <c r="C40" s="474">
        <v>393</v>
      </c>
      <c r="D40" s="480" t="s">
        <v>1599</v>
      </c>
      <c r="E40" s="911">
        <v>0.05</v>
      </c>
      <c r="F40" s="911">
        <v>0</v>
      </c>
      <c r="G40" s="911">
        <v>0.05</v>
      </c>
      <c r="I40" s="370"/>
      <c r="J40" s="370"/>
      <c r="K40" s="370"/>
    </row>
    <row r="41" spans="1:11" ht="14.5">
      <c r="A41" s="572">
        <f t="shared" si="1"/>
        <v>29</v>
      </c>
      <c r="B41" s="476"/>
      <c r="C41" s="474">
        <v>395</v>
      </c>
      <c r="D41" s="480" t="s">
        <v>1600</v>
      </c>
      <c r="E41" s="911">
        <v>6.6699999999999995E-2</v>
      </c>
      <c r="F41" s="911">
        <v>0</v>
      </c>
      <c r="G41" s="911">
        <v>6.6699999999999995E-2</v>
      </c>
      <c r="I41" s="370"/>
      <c r="J41" s="370"/>
      <c r="K41" s="370"/>
    </row>
    <row r="42" spans="1:11" ht="14.5">
      <c r="A42" s="572">
        <f t="shared" si="1"/>
        <v>30</v>
      </c>
      <c r="B42" s="476"/>
      <c r="C42" s="474">
        <v>398</v>
      </c>
      <c r="D42" s="480" t="s">
        <v>1601</v>
      </c>
      <c r="E42" s="911">
        <v>0.05</v>
      </c>
      <c r="F42" s="911">
        <v>0</v>
      </c>
      <c r="G42" s="911">
        <v>0.05</v>
      </c>
      <c r="I42" s="370"/>
      <c r="J42" s="370"/>
      <c r="K42" s="370"/>
    </row>
    <row r="43" spans="1:11" ht="14.5">
      <c r="A43" s="572">
        <f>A42+1</f>
        <v>31</v>
      </c>
      <c r="B43" s="476"/>
      <c r="C43" s="474">
        <v>397</v>
      </c>
      <c r="D43" s="480" t="s">
        <v>2191</v>
      </c>
      <c r="E43" s="911">
        <v>0.2</v>
      </c>
      <c r="F43" s="911">
        <v>0</v>
      </c>
      <c r="G43" s="911">
        <v>0.2</v>
      </c>
      <c r="I43" s="370"/>
      <c r="J43" s="370"/>
      <c r="K43" s="370"/>
    </row>
    <row r="44" spans="1:11" ht="14.5">
      <c r="A44" s="572">
        <f t="shared" ref="A44:A53" si="2">A43+1</f>
        <v>32</v>
      </c>
      <c r="B44" s="476"/>
      <c r="C44" s="474">
        <v>397</v>
      </c>
      <c r="D44" s="480" t="s">
        <v>1602</v>
      </c>
      <c r="E44" s="911">
        <v>0.1429</v>
      </c>
      <c r="F44" s="911">
        <v>0</v>
      </c>
      <c r="G44" s="911">
        <v>0.1429</v>
      </c>
      <c r="I44" s="370"/>
      <c r="J44" s="370"/>
      <c r="K44" s="370"/>
    </row>
    <row r="45" spans="1:11" ht="14.5">
      <c r="A45" s="572">
        <f t="shared" si="2"/>
        <v>33</v>
      </c>
      <c r="B45" s="476"/>
      <c r="C45" s="474">
        <v>397</v>
      </c>
      <c r="D45" s="480" t="s">
        <v>1603</v>
      </c>
      <c r="E45" s="911">
        <v>0.1</v>
      </c>
      <c r="F45" s="911">
        <v>0</v>
      </c>
      <c r="G45" s="911">
        <v>0.1</v>
      </c>
      <c r="I45" s="370"/>
      <c r="J45" s="370"/>
      <c r="K45" s="370"/>
    </row>
    <row r="46" spans="1:11" ht="14.5">
      <c r="A46" s="572">
        <f t="shared" si="2"/>
        <v>34</v>
      </c>
      <c r="B46" s="476"/>
      <c r="C46" s="474">
        <v>397</v>
      </c>
      <c r="D46" s="480" t="s">
        <v>1604</v>
      </c>
      <c r="E46" s="911">
        <v>6.6699999999999995E-2</v>
      </c>
      <c r="F46" s="911">
        <v>0</v>
      </c>
      <c r="G46" s="911">
        <v>6.6699999999999995E-2</v>
      </c>
      <c r="I46" s="370"/>
      <c r="J46" s="370"/>
      <c r="K46" s="370"/>
    </row>
    <row r="47" spans="1:11" ht="14.5">
      <c r="A47" s="572">
        <f t="shared" si="2"/>
        <v>35</v>
      </c>
      <c r="B47" s="476"/>
      <c r="C47" s="474">
        <v>397</v>
      </c>
      <c r="D47" s="480" t="s">
        <v>2192</v>
      </c>
      <c r="E47" s="1095">
        <v>0.05</v>
      </c>
      <c r="F47" s="911">
        <v>0</v>
      </c>
      <c r="G47" s="1095">
        <v>0.05</v>
      </c>
      <c r="I47" s="370"/>
      <c r="J47" s="370"/>
      <c r="K47" s="370"/>
    </row>
    <row r="48" spans="1:11" ht="13">
      <c r="A48" s="572">
        <f t="shared" si="2"/>
        <v>36</v>
      </c>
      <c r="B48" s="476"/>
      <c r="C48" s="474">
        <v>397</v>
      </c>
      <c r="D48" s="480" t="s">
        <v>1605</v>
      </c>
      <c r="E48" s="911">
        <v>0.04</v>
      </c>
      <c r="F48" s="911">
        <v>0</v>
      </c>
      <c r="G48" s="911">
        <v>0.04</v>
      </c>
    </row>
    <row r="49" spans="1:7" ht="13">
      <c r="A49" s="572">
        <f t="shared" si="2"/>
        <v>37</v>
      </c>
      <c r="B49" s="476"/>
      <c r="C49" s="474">
        <v>397</v>
      </c>
      <c r="D49" s="480" t="s">
        <v>1606</v>
      </c>
      <c r="E49" s="911">
        <v>2.5000000000000001E-2</v>
      </c>
      <c r="F49" s="911">
        <v>0</v>
      </c>
      <c r="G49" s="911">
        <v>2.5000000000000001E-2</v>
      </c>
    </row>
    <row r="50" spans="1:7" ht="13">
      <c r="A50" s="572">
        <f t="shared" si="2"/>
        <v>38</v>
      </c>
      <c r="B50" s="476"/>
      <c r="C50" s="474">
        <v>392</v>
      </c>
      <c r="D50" s="480" t="s">
        <v>1607</v>
      </c>
      <c r="E50" s="911">
        <v>0.1429</v>
      </c>
      <c r="F50" s="911">
        <v>0</v>
      </c>
      <c r="G50" s="911">
        <v>0.1429</v>
      </c>
    </row>
    <row r="51" spans="1:7" ht="13">
      <c r="A51" s="572">
        <f t="shared" si="2"/>
        <v>39</v>
      </c>
      <c r="B51" s="476"/>
      <c r="C51" s="474">
        <v>394.4</v>
      </c>
      <c r="D51" s="480" t="s">
        <v>1608</v>
      </c>
      <c r="E51" s="911">
        <v>0.1</v>
      </c>
      <c r="F51" s="911">
        <v>0</v>
      </c>
      <c r="G51" s="911">
        <v>0.1</v>
      </c>
    </row>
    <row r="52" spans="1:7" ht="13">
      <c r="A52" s="572">
        <f t="shared" si="2"/>
        <v>40</v>
      </c>
      <c r="B52" s="476"/>
      <c r="C52" s="474">
        <v>394.5</v>
      </c>
      <c r="D52" s="480" t="s">
        <v>1609</v>
      </c>
      <c r="E52" s="911">
        <v>0.1</v>
      </c>
      <c r="F52" s="911">
        <v>0</v>
      </c>
      <c r="G52" s="911">
        <v>0.1</v>
      </c>
    </row>
    <row r="53" spans="1:7" ht="13">
      <c r="A53" s="572">
        <f t="shared" si="2"/>
        <v>41</v>
      </c>
      <c r="B53" s="476"/>
      <c r="C53" s="474">
        <v>396</v>
      </c>
      <c r="D53" s="480" t="s">
        <v>1610</v>
      </c>
      <c r="E53" s="911">
        <v>6.6699999999999995E-2</v>
      </c>
      <c r="F53" s="911">
        <v>0</v>
      </c>
      <c r="G53" s="911">
        <v>6.6699999999999995E-2</v>
      </c>
    </row>
    <row r="54" spans="1:7">
      <c r="A54" s="476"/>
      <c r="B54" s="476"/>
      <c r="C54" s="476"/>
      <c r="D54" s="476"/>
    </row>
    <row r="55" spans="1:7" ht="13">
      <c r="A55" s="476"/>
      <c r="B55" s="394" t="s">
        <v>1035</v>
      </c>
      <c r="C55" s="476"/>
      <c r="D55" s="476"/>
      <c r="E55" s="572" t="s">
        <v>372</v>
      </c>
    </row>
    <row r="56" spans="1:7" ht="13">
      <c r="A56" s="476"/>
      <c r="B56" s="476"/>
      <c r="C56" s="233" t="s">
        <v>12</v>
      </c>
      <c r="D56" s="476"/>
      <c r="E56" s="572" t="s">
        <v>1019</v>
      </c>
      <c r="F56" s="4" t="s">
        <v>1020</v>
      </c>
      <c r="G56" s="4"/>
    </row>
    <row r="57" spans="1:7" ht="13">
      <c r="A57" s="476"/>
      <c r="B57" s="476"/>
      <c r="C57" s="367" t="s">
        <v>99</v>
      </c>
      <c r="D57" s="367" t="s">
        <v>100</v>
      </c>
      <c r="E57" s="3" t="s">
        <v>1021</v>
      </c>
      <c r="F57" s="3" t="s">
        <v>1022</v>
      </c>
      <c r="G57" s="3" t="s">
        <v>196</v>
      </c>
    </row>
    <row r="58" spans="1:7" ht="13">
      <c r="A58" s="572">
        <f>A53+1</f>
        <v>42</v>
      </c>
      <c r="B58" s="476"/>
      <c r="C58" s="474">
        <v>302</v>
      </c>
      <c r="D58" s="480" t="s">
        <v>1036</v>
      </c>
      <c r="E58" s="1284">
        <v>1.8499999999999999E-2</v>
      </c>
      <c r="F58" s="911">
        <v>0</v>
      </c>
      <c r="G58" s="1284">
        <v>1.8499999999999999E-2</v>
      </c>
    </row>
    <row r="59" spans="1:7" ht="13">
      <c r="A59" s="572">
        <f t="shared" ref="A59:A64" si="3">A58+1</f>
        <v>43</v>
      </c>
      <c r="B59" s="476"/>
      <c r="C59" s="474">
        <v>303</v>
      </c>
      <c r="D59" s="480" t="s">
        <v>1037</v>
      </c>
      <c r="E59" s="911">
        <v>2.5000000000000001E-2</v>
      </c>
      <c r="F59" s="911">
        <v>0</v>
      </c>
      <c r="G59" s="911">
        <v>2.5000000000000001E-2</v>
      </c>
    </row>
    <row r="60" spans="1:7" ht="13">
      <c r="A60" s="572">
        <f t="shared" si="3"/>
        <v>44</v>
      </c>
      <c r="B60" s="476"/>
      <c r="C60" s="474">
        <v>301</v>
      </c>
      <c r="D60" s="480" t="s">
        <v>1038</v>
      </c>
      <c r="E60" s="911">
        <v>0.05</v>
      </c>
      <c r="F60" s="911">
        <v>0</v>
      </c>
      <c r="G60" s="911">
        <v>0.05</v>
      </c>
    </row>
    <row r="61" spans="1:7" ht="13">
      <c r="A61" s="572">
        <f t="shared" si="3"/>
        <v>45</v>
      </c>
      <c r="B61" s="476"/>
      <c r="C61" s="474">
        <v>303</v>
      </c>
      <c r="D61" s="480" t="s">
        <v>1039</v>
      </c>
      <c r="E61" s="911">
        <v>0.2031</v>
      </c>
      <c r="F61" s="911">
        <v>0</v>
      </c>
      <c r="G61" s="911">
        <v>0.2031</v>
      </c>
    </row>
    <row r="62" spans="1:7" ht="13">
      <c r="A62" s="572">
        <f t="shared" si="3"/>
        <v>46</v>
      </c>
      <c r="B62" s="476"/>
      <c r="C62" s="474">
        <v>303</v>
      </c>
      <c r="D62" s="480" t="s">
        <v>1040</v>
      </c>
      <c r="E62" s="911">
        <v>0.1462</v>
      </c>
      <c r="F62" s="911">
        <v>0</v>
      </c>
      <c r="G62" s="911">
        <v>0.1462</v>
      </c>
    </row>
    <row r="63" spans="1:7" ht="13">
      <c r="A63" s="572">
        <f t="shared" si="3"/>
        <v>47</v>
      </c>
      <c r="B63" s="476"/>
      <c r="C63" s="474">
        <v>303</v>
      </c>
      <c r="D63" s="480" t="s">
        <v>1041</v>
      </c>
      <c r="E63" s="911">
        <v>0.1293</v>
      </c>
      <c r="F63" s="911">
        <v>0</v>
      </c>
      <c r="G63" s="911">
        <v>0.1293</v>
      </c>
    </row>
    <row r="64" spans="1:7" ht="13">
      <c r="A64" s="572">
        <f t="shared" si="3"/>
        <v>48</v>
      </c>
      <c r="B64" s="476"/>
      <c r="C64" s="474">
        <v>303</v>
      </c>
      <c r="D64" s="480" t="s">
        <v>1042</v>
      </c>
      <c r="E64" s="911">
        <v>8.48E-2</v>
      </c>
      <c r="F64" s="911">
        <v>0</v>
      </c>
      <c r="G64" s="911">
        <v>8.48E-2</v>
      </c>
    </row>
    <row r="65" spans="1:6" ht="13">
      <c r="A65" s="476"/>
      <c r="B65" s="478" t="s">
        <v>1730</v>
      </c>
      <c r="C65" s="478"/>
      <c r="D65" s="478"/>
      <c r="E65" s="478"/>
      <c r="F65" s="478"/>
    </row>
    <row r="66" spans="1:6">
      <c r="A66" s="476"/>
      <c r="B66" s="478" t="s">
        <v>2421</v>
      </c>
      <c r="C66" s="478"/>
      <c r="D66" s="478"/>
      <c r="E66" s="478"/>
      <c r="F66" s="478"/>
    </row>
  </sheetData>
  <pageMargins left="0.7" right="0.7" top="0.75" bottom="0.75" header="0.3" footer="0.3"/>
  <pageSetup scale="75" orientation="portrait" cellComments="asDisplayed" r:id="rId1"/>
  <headerFooter>
    <oddHeader>&amp;CSchedule 18
Depreciation Rates
&amp;RTO2021 Annual Update
Attachment 5
TO2018 True Up TRR</oddHeader>
    <oddFooter>&amp;R18-DepRates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56"/>
  <sheetViews>
    <sheetView zoomScaleNormal="100" zoomScalePageLayoutView="80" workbookViewId="0"/>
  </sheetViews>
  <sheetFormatPr defaultColWidth="9.453125" defaultRowHeight="12.5"/>
  <cols>
    <col min="1" max="1" width="5.54296875" style="489" customWidth="1"/>
    <col min="2" max="2" width="50.54296875" style="489" customWidth="1"/>
    <col min="3" max="3" width="14.54296875" style="487" customWidth="1"/>
    <col min="4" max="4" width="16.453125" style="487" customWidth="1"/>
    <col min="5" max="5" width="14.54296875" style="487" customWidth="1"/>
    <col min="6" max="6" width="12.54296875" style="900" customWidth="1"/>
    <col min="7" max="7" width="16.54296875" style="858" customWidth="1"/>
    <col min="8" max="9" width="14.54296875" style="859" customWidth="1"/>
    <col min="10" max="12" width="14.54296875" style="489" customWidth="1"/>
    <col min="13" max="13" width="9.453125" style="476"/>
    <col min="14" max="14" width="10.54296875" style="476" bestFit="1" customWidth="1"/>
    <col min="15" max="16384" width="9.453125" style="476"/>
  </cols>
  <sheetData>
    <row r="1" spans="1:12" ht="12.75" customHeight="1">
      <c r="A1" s="409" t="s">
        <v>1260</v>
      </c>
      <c r="C1" s="410"/>
      <c r="D1" s="411"/>
      <c r="E1" s="411"/>
      <c r="F1" s="412"/>
      <c r="G1" s="413"/>
      <c r="H1" s="413"/>
      <c r="I1" s="413"/>
      <c r="J1" s="413"/>
      <c r="K1" s="476"/>
      <c r="L1" s="476"/>
    </row>
    <row r="2" spans="1:12" ht="12.75" customHeight="1">
      <c r="A2" s="414"/>
      <c r="C2" s="410"/>
      <c r="D2" s="411"/>
      <c r="E2" s="411"/>
      <c r="F2" s="415"/>
      <c r="G2" s="698" t="s">
        <v>302</v>
      </c>
      <c r="H2" s="486"/>
      <c r="I2" s="411"/>
      <c r="J2" s="413"/>
      <c r="K2" s="413"/>
      <c r="L2" s="413"/>
    </row>
    <row r="3" spans="1:12" ht="12.75" customHeight="1">
      <c r="A3" s="416"/>
      <c r="B3" s="417" t="s">
        <v>1261</v>
      </c>
      <c r="C3" s="419"/>
      <c r="D3" s="419"/>
      <c r="E3" s="419"/>
      <c r="F3" s="420"/>
      <c r="G3" s="418"/>
      <c r="H3" s="418"/>
      <c r="I3" s="418"/>
      <c r="J3" s="418"/>
      <c r="K3" s="418"/>
      <c r="L3" s="421"/>
    </row>
    <row r="4" spans="1:12" ht="12.75" customHeight="1">
      <c r="A4" s="422"/>
      <c r="B4" s="414"/>
      <c r="C4" s="423"/>
      <c r="D4" s="423"/>
      <c r="E4" s="423"/>
      <c r="F4" s="424"/>
      <c r="G4" s="26"/>
      <c r="H4" s="26"/>
      <c r="I4" s="26"/>
      <c r="J4" s="26"/>
      <c r="K4" s="26"/>
      <c r="L4" s="413"/>
    </row>
    <row r="5" spans="1:12" ht="12.75" customHeight="1">
      <c r="A5" s="418"/>
      <c r="B5" s="425" t="s">
        <v>359</v>
      </c>
      <c r="C5" s="425" t="s">
        <v>343</v>
      </c>
      <c r="D5" s="425" t="s">
        <v>344</v>
      </c>
      <c r="E5" s="425" t="s">
        <v>345</v>
      </c>
      <c r="F5" s="426" t="s">
        <v>346</v>
      </c>
      <c r="G5" s="425" t="s">
        <v>347</v>
      </c>
      <c r="H5" s="425" t="s">
        <v>348</v>
      </c>
      <c r="I5" s="425" t="s">
        <v>537</v>
      </c>
      <c r="J5" s="425" t="s">
        <v>954</v>
      </c>
      <c r="K5" s="425" t="s">
        <v>967</v>
      </c>
      <c r="L5" s="425" t="s">
        <v>970</v>
      </c>
    </row>
    <row r="6" spans="1:12" ht="12.75" customHeight="1">
      <c r="A6" s="422"/>
      <c r="B6" s="1280"/>
      <c r="C6" s="561" t="s">
        <v>1262</v>
      </c>
      <c r="D6" s="423"/>
      <c r="E6" s="423"/>
      <c r="F6" s="854" t="s">
        <v>361</v>
      </c>
      <c r="G6" s="561" t="s">
        <v>1263</v>
      </c>
      <c r="H6" s="427"/>
      <c r="I6" s="427"/>
      <c r="J6" s="561" t="s">
        <v>1264</v>
      </c>
      <c r="K6" s="561" t="s">
        <v>1265</v>
      </c>
      <c r="L6" s="562" t="s">
        <v>1266</v>
      </c>
    </row>
    <row r="7" spans="1:12" ht="12.75" customHeight="1">
      <c r="C7" s="855"/>
      <c r="D7" s="856"/>
      <c r="E7" s="856"/>
      <c r="F7" s="857"/>
      <c r="J7" s="860"/>
    </row>
    <row r="8" spans="1:12" ht="13">
      <c r="A8" s="428"/>
      <c r="B8" s="1400" t="s">
        <v>1267</v>
      </c>
      <c r="C8" s="1402" t="s">
        <v>1268</v>
      </c>
      <c r="D8" s="1402"/>
      <c r="E8" s="1402"/>
      <c r="F8" s="429"/>
      <c r="G8" s="1398" t="s">
        <v>1269</v>
      </c>
      <c r="H8" s="1398"/>
      <c r="I8" s="1399"/>
      <c r="J8" s="1397" t="s">
        <v>1270</v>
      </c>
      <c r="K8" s="1398"/>
      <c r="L8" s="1399"/>
    </row>
    <row r="9" spans="1:12" ht="13">
      <c r="A9" s="51"/>
      <c r="B9" s="1401"/>
      <c r="C9" s="853" t="s">
        <v>196</v>
      </c>
      <c r="D9" s="853" t="s">
        <v>1271</v>
      </c>
      <c r="E9" s="430" t="s">
        <v>1272</v>
      </c>
      <c r="F9" s="431" t="s">
        <v>1214</v>
      </c>
      <c r="G9" s="430" t="s">
        <v>196</v>
      </c>
      <c r="H9" s="430" t="s">
        <v>1271</v>
      </c>
      <c r="I9" s="430" t="s">
        <v>1272</v>
      </c>
      <c r="J9" s="853" t="s">
        <v>196</v>
      </c>
      <c r="K9" s="430" t="s">
        <v>1271</v>
      </c>
      <c r="L9" s="430" t="s">
        <v>1272</v>
      </c>
    </row>
    <row r="10" spans="1:12" ht="13">
      <c r="A10" s="51" t="s">
        <v>330</v>
      </c>
      <c r="B10" s="432" t="s">
        <v>1273</v>
      </c>
      <c r="C10" s="254"/>
      <c r="D10" s="254"/>
      <c r="E10" s="433"/>
      <c r="F10" s="434"/>
      <c r="G10" s="433"/>
      <c r="H10" s="433"/>
      <c r="I10" s="433"/>
      <c r="J10" s="254"/>
      <c r="K10" s="433"/>
      <c r="L10" s="433"/>
    </row>
    <row r="11" spans="1:12" ht="13">
      <c r="A11" s="572">
        <v>1</v>
      </c>
      <c r="B11" s="494" t="s">
        <v>2324</v>
      </c>
      <c r="C11" s="861">
        <f>SUM(D11:E11)</f>
        <v>8092114.7699999996</v>
      </c>
      <c r="D11" s="1293">
        <v>3966682.8599999994</v>
      </c>
      <c r="E11" s="1293">
        <v>4125431.9100000006</v>
      </c>
      <c r="F11" s="1294"/>
      <c r="G11" s="862">
        <f t="shared" ref="G11:G42" si="0">SUM(H11:I11)</f>
        <v>0</v>
      </c>
      <c r="H11" s="1043">
        <v>0</v>
      </c>
      <c r="I11" s="1043">
        <v>0</v>
      </c>
      <c r="J11" s="595">
        <f>SUM(K11:L11)</f>
        <v>8092114.7699999996</v>
      </c>
      <c r="K11" s="595">
        <f>D11+H11</f>
        <v>3966682.8599999994</v>
      </c>
      <c r="L11" s="595">
        <f>E11+I11</f>
        <v>4125431.9100000006</v>
      </c>
    </row>
    <row r="12" spans="1:12" ht="13">
      <c r="A12" s="572">
        <f>A11+1</f>
        <v>2</v>
      </c>
      <c r="B12" s="494" t="s">
        <v>1274</v>
      </c>
      <c r="C12" s="861">
        <f>SUM(D12:E12)</f>
        <v>218858.51</v>
      </c>
      <c r="D12" s="1293">
        <v>0</v>
      </c>
      <c r="E12" s="1293">
        <v>218858.51</v>
      </c>
      <c r="F12" s="1294"/>
      <c r="G12" s="862">
        <f t="shared" si="0"/>
        <v>0</v>
      </c>
      <c r="H12" s="1043">
        <v>0</v>
      </c>
      <c r="I12" s="1043">
        <v>0</v>
      </c>
      <c r="J12" s="595">
        <f t="shared" ref="J12:J42" si="1">SUM(K12:L12)</f>
        <v>218858.51</v>
      </c>
      <c r="K12" s="595">
        <f t="shared" ref="K12:L27" si="2">D12+H12</f>
        <v>0</v>
      </c>
      <c r="L12" s="595">
        <f t="shared" si="2"/>
        <v>218858.51</v>
      </c>
    </row>
    <row r="13" spans="1:12" ht="13">
      <c r="A13" s="572">
        <f t="shared" ref="A13:A44" si="3">A12+1</f>
        <v>3</v>
      </c>
      <c r="B13" s="593" t="s">
        <v>2325</v>
      </c>
      <c r="C13" s="861">
        <f t="shared" ref="C13:C40" si="4">SUM(D13:E13)</f>
        <v>10979778.239999998</v>
      </c>
      <c r="D13" s="1293">
        <v>8989791.4899999984</v>
      </c>
      <c r="E13" s="1293">
        <v>1989986.7499999998</v>
      </c>
      <c r="F13" s="1294"/>
      <c r="G13" s="862">
        <f t="shared" si="0"/>
        <v>0</v>
      </c>
      <c r="H13" s="1043">
        <v>0</v>
      </c>
      <c r="I13" s="1043">
        <v>0</v>
      </c>
      <c r="J13" s="595">
        <f t="shared" si="1"/>
        <v>10979778.239999998</v>
      </c>
      <c r="K13" s="595">
        <f t="shared" si="2"/>
        <v>8989791.4899999984</v>
      </c>
      <c r="L13" s="595">
        <f t="shared" si="2"/>
        <v>1989986.7499999998</v>
      </c>
    </row>
    <row r="14" spans="1:12" ht="13">
      <c r="A14" s="572">
        <f t="shared" si="3"/>
        <v>4</v>
      </c>
      <c r="B14" s="593" t="s">
        <v>1275</v>
      </c>
      <c r="C14" s="861">
        <f t="shared" si="4"/>
        <v>30864992.900000002</v>
      </c>
      <c r="D14" s="1293">
        <v>0</v>
      </c>
      <c r="E14" s="1293">
        <v>30864992.900000002</v>
      </c>
      <c r="F14" s="1294" t="s">
        <v>554</v>
      </c>
      <c r="G14" s="862">
        <f t="shared" si="0"/>
        <v>-30864992.899999999</v>
      </c>
      <c r="H14" s="1043">
        <v>0</v>
      </c>
      <c r="I14" s="1043">
        <v>-30864992.899999999</v>
      </c>
      <c r="J14" s="595">
        <f t="shared" si="1"/>
        <v>0</v>
      </c>
      <c r="K14" s="595">
        <f t="shared" si="2"/>
        <v>0</v>
      </c>
      <c r="L14" s="595">
        <f t="shared" si="2"/>
        <v>0</v>
      </c>
    </row>
    <row r="15" spans="1:12" ht="13">
      <c r="A15" s="572">
        <f t="shared" si="3"/>
        <v>5</v>
      </c>
      <c r="B15" s="593" t="s">
        <v>2326</v>
      </c>
      <c r="C15" s="861">
        <f t="shared" si="4"/>
        <v>4579897.2</v>
      </c>
      <c r="D15" s="1293">
        <v>4153652.5500000003</v>
      </c>
      <c r="E15" s="1293">
        <v>426244.64999999997</v>
      </c>
      <c r="F15" s="1294"/>
      <c r="G15" s="862">
        <f t="shared" si="0"/>
        <v>0</v>
      </c>
      <c r="H15" s="1043">
        <v>0</v>
      </c>
      <c r="I15" s="1043">
        <v>0</v>
      </c>
      <c r="J15" s="595">
        <f t="shared" si="1"/>
        <v>4579897.2</v>
      </c>
      <c r="K15" s="595">
        <f t="shared" si="2"/>
        <v>4153652.5500000003</v>
      </c>
      <c r="L15" s="595">
        <f t="shared" si="2"/>
        <v>426244.64999999997</v>
      </c>
    </row>
    <row r="16" spans="1:12" ht="13">
      <c r="A16" s="572">
        <f t="shared" si="3"/>
        <v>6</v>
      </c>
      <c r="B16" s="593" t="s">
        <v>2327</v>
      </c>
      <c r="C16" s="861">
        <f t="shared" si="4"/>
        <v>21612432.059999999</v>
      </c>
      <c r="D16" s="1293">
        <v>17560848.869999997</v>
      </c>
      <c r="E16" s="1293">
        <v>4051583.1900000009</v>
      </c>
      <c r="F16" s="1294"/>
      <c r="G16" s="862">
        <f t="shared" si="0"/>
        <v>0</v>
      </c>
      <c r="H16" s="1043">
        <v>0</v>
      </c>
      <c r="I16" s="1043">
        <v>0</v>
      </c>
      <c r="J16" s="595">
        <f t="shared" si="1"/>
        <v>21612432.059999999</v>
      </c>
      <c r="K16" s="595">
        <f t="shared" si="2"/>
        <v>17560848.869999997</v>
      </c>
      <c r="L16" s="595">
        <f t="shared" si="2"/>
        <v>4051583.1900000009</v>
      </c>
    </row>
    <row r="17" spans="1:12" ht="13">
      <c r="A17" s="572">
        <f t="shared" si="3"/>
        <v>7</v>
      </c>
      <c r="B17" s="593" t="s">
        <v>1276</v>
      </c>
      <c r="C17" s="861">
        <f t="shared" si="4"/>
        <v>0</v>
      </c>
      <c r="D17" s="1293">
        <v>0</v>
      </c>
      <c r="E17" s="1293">
        <v>0</v>
      </c>
      <c r="F17" s="1294" t="s">
        <v>555</v>
      </c>
      <c r="G17" s="862">
        <f t="shared" si="0"/>
        <v>0</v>
      </c>
      <c r="H17" s="1043">
        <v>0</v>
      </c>
      <c r="I17" s="1043">
        <v>0</v>
      </c>
      <c r="J17" s="595">
        <f t="shared" si="1"/>
        <v>0</v>
      </c>
      <c r="K17" s="595">
        <f t="shared" si="2"/>
        <v>0</v>
      </c>
      <c r="L17" s="595">
        <f t="shared" si="2"/>
        <v>0</v>
      </c>
    </row>
    <row r="18" spans="1:12" ht="13">
      <c r="A18" s="572">
        <f t="shared" si="3"/>
        <v>8</v>
      </c>
      <c r="B18" s="593" t="s">
        <v>1277</v>
      </c>
      <c r="C18" s="861">
        <f t="shared" si="4"/>
        <v>869792.65</v>
      </c>
      <c r="D18" s="1293">
        <v>0</v>
      </c>
      <c r="E18" s="1293">
        <v>869792.65</v>
      </c>
      <c r="F18" s="1294"/>
      <c r="G18" s="862">
        <f t="shared" si="0"/>
        <v>0</v>
      </c>
      <c r="H18" s="1043">
        <v>0</v>
      </c>
      <c r="I18" s="1043">
        <v>0</v>
      </c>
      <c r="J18" s="595">
        <f t="shared" si="1"/>
        <v>869792.65</v>
      </c>
      <c r="K18" s="595">
        <f t="shared" si="2"/>
        <v>0</v>
      </c>
      <c r="L18" s="595">
        <f t="shared" si="2"/>
        <v>869792.65</v>
      </c>
    </row>
    <row r="19" spans="1:12" ht="13">
      <c r="A19" s="572">
        <f t="shared" si="3"/>
        <v>9</v>
      </c>
      <c r="B19" s="593" t="s">
        <v>2328</v>
      </c>
      <c r="C19" s="861">
        <f t="shared" si="4"/>
        <v>38009999.060000002</v>
      </c>
      <c r="D19" s="1293">
        <v>13523556.27</v>
      </c>
      <c r="E19" s="1293">
        <v>24486442.790000007</v>
      </c>
      <c r="F19" s="1294"/>
      <c r="G19" s="862">
        <f t="shared" si="0"/>
        <v>0</v>
      </c>
      <c r="H19" s="1043">
        <v>0</v>
      </c>
      <c r="I19" s="1043">
        <v>0</v>
      </c>
      <c r="J19" s="595">
        <f t="shared" si="1"/>
        <v>38009999.060000002</v>
      </c>
      <c r="K19" s="595">
        <f t="shared" si="2"/>
        <v>13523556.27</v>
      </c>
      <c r="L19" s="595">
        <f t="shared" si="2"/>
        <v>24486442.790000007</v>
      </c>
    </row>
    <row r="20" spans="1:12" ht="13">
      <c r="A20" s="572">
        <f t="shared" si="3"/>
        <v>10</v>
      </c>
      <c r="B20" s="593" t="s">
        <v>2329</v>
      </c>
      <c r="C20" s="861">
        <f t="shared" si="4"/>
        <v>1975667.03</v>
      </c>
      <c r="D20" s="1293">
        <v>1703103.03</v>
      </c>
      <c r="E20" s="1293">
        <v>272564</v>
      </c>
      <c r="F20" s="1294"/>
      <c r="G20" s="862">
        <f t="shared" si="0"/>
        <v>0</v>
      </c>
      <c r="H20" s="1043">
        <v>0</v>
      </c>
      <c r="I20" s="1043">
        <v>0</v>
      </c>
      <c r="J20" s="595">
        <f t="shared" si="1"/>
        <v>1975667.03</v>
      </c>
      <c r="K20" s="595">
        <f t="shared" si="2"/>
        <v>1703103.03</v>
      </c>
      <c r="L20" s="595">
        <f t="shared" si="2"/>
        <v>272564</v>
      </c>
    </row>
    <row r="21" spans="1:12" ht="13">
      <c r="A21" s="572">
        <f t="shared" si="3"/>
        <v>11</v>
      </c>
      <c r="B21" s="593" t="s">
        <v>2330</v>
      </c>
      <c r="C21" s="861">
        <f t="shared" si="4"/>
        <v>0</v>
      </c>
      <c r="D21" s="1293">
        <v>0</v>
      </c>
      <c r="E21" s="1293">
        <v>0</v>
      </c>
      <c r="F21" s="1294"/>
      <c r="G21" s="862">
        <f t="shared" si="0"/>
        <v>0</v>
      </c>
      <c r="H21" s="1043">
        <v>0</v>
      </c>
      <c r="I21" s="1043">
        <v>0</v>
      </c>
      <c r="J21" s="595">
        <f t="shared" si="1"/>
        <v>0</v>
      </c>
      <c r="K21" s="595">
        <f t="shared" si="2"/>
        <v>0</v>
      </c>
      <c r="L21" s="595">
        <f t="shared" si="2"/>
        <v>0</v>
      </c>
    </row>
    <row r="22" spans="1:12" ht="13">
      <c r="A22" s="572">
        <f t="shared" si="3"/>
        <v>12</v>
      </c>
      <c r="B22" s="593" t="s">
        <v>1279</v>
      </c>
      <c r="C22" s="861">
        <f t="shared" si="4"/>
        <v>19648738.149999999</v>
      </c>
      <c r="D22" s="1293">
        <v>0</v>
      </c>
      <c r="E22" s="1293">
        <v>19648738.149999999</v>
      </c>
      <c r="F22" s="1294" t="s">
        <v>556</v>
      </c>
      <c r="G22" s="863">
        <f t="shared" si="0"/>
        <v>-19648738.149999999</v>
      </c>
      <c r="H22" s="1043">
        <v>0</v>
      </c>
      <c r="I22" s="1043">
        <v>-19648738.149999999</v>
      </c>
      <c r="J22" s="595">
        <f t="shared" si="1"/>
        <v>0</v>
      </c>
      <c r="K22" s="595">
        <f t="shared" si="2"/>
        <v>0</v>
      </c>
      <c r="L22" s="595">
        <f t="shared" si="2"/>
        <v>0</v>
      </c>
    </row>
    <row r="23" spans="1:12" ht="13">
      <c r="A23" s="572">
        <f t="shared" si="3"/>
        <v>13</v>
      </c>
      <c r="B23" s="593" t="s">
        <v>1280</v>
      </c>
      <c r="C23" s="861">
        <f t="shared" si="4"/>
        <v>287070.25</v>
      </c>
      <c r="D23" s="1293">
        <v>0</v>
      </c>
      <c r="E23" s="1293">
        <v>287070.25</v>
      </c>
      <c r="F23" s="1294"/>
      <c r="G23" s="862">
        <f t="shared" si="0"/>
        <v>0</v>
      </c>
      <c r="H23" s="1043">
        <v>0</v>
      </c>
      <c r="I23" s="1043">
        <v>0</v>
      </c>
      <c r="J23" s="595">
        <f t="shared" si="1"/>
        <v>287070.25</v>
      </c>
      <c r="K23" s="595">
        <f t="shared" si="2"/>
        <v>0</v>
      </c>
      <c r="L23" s="595">
        <f t="shared" si="2"/>
        <v>287070.25</v>
      </c>
    </row>
    <row r="24" spans="1:12" ht="13">
      <c r="A24" s="572">
        <f t="shared" si="3"/>
        <v>14</v>
      </c>
      <c r="B24" s="593" t="s">
        <v>2331</v>
      </c>
      <c r="C24" s="861">
        <f t="shared" si="4"/>
        <v>41780984.579999998</v>
      </c>
      <c r="D24" s="1293">
        <v>21299518.829999991</v>
      </c>
      <c r="E24" s="1293">
        <v>20481465.750000004</v>
      </c>
      <c r="F24" s="1294" t="s">
        <v>559</v>
      </c>
      <c r="G24" s="862">
        <f>SUM(H24:I24)</f>
        <v>-4261.4800000000005</v>
      </c>
      <c r="H24" s="1043">
        <v>-3959.32</v>
      </c>
      <c r="I24" s="1043">
        <v>-302.15999999999997</v>
      </c>
      <c r="J24" s="595">
        <f>SUM(K24:L24)</f>
        <v>41776723.099999994</v>
      </c>
      <c r="K24" s="595">
        <f t="shared" si="2"/>
        <v>21295559.50999999</v>
      </c>
      <c r="L24" s="595">
        <f t="shared" si="2"/>
        <v>20481163.590000004</v>
      </c>
    </row>
    <row r="25" spans="1:12" ht="13">
      <c r="A25" s="572">
        <f t="shared" si="3"/>
        <v>15</v>
      </c>
      <c r="B25" s="593" t="s">
        <v>1281</v>
      </c>
      <c r="C25" s="861">
        <f t="shared" si="4"/>
        <v>121060283.48</v>
      </c>
      <c r="D25" s="1293">
        <v>191432.74</v>
      </c>
      <c r="E25" s="1293">
        <v>120868850.74000001</v>
      </c>
      <c r="F25" s="1294" t="s">
        <v>557</v>
      </c>
      <c r="G25" s="862">
        <f>SUM(H25:I25)</f>
        <v>-120200470.07999998</v>
      </c>
      <c r="H25" s="1043">
        <v>-1891.74</v>
      </c>
      <c r="I25" s="1043">
        <v>-120198578.33999999</v>
      </c>
      <c r="J25" s="595">
        <f t="shared" si="1"/>
        <v>859813.40000002086</v>
      </c>
      <c r="K25" s="595">
        <f t="shared" si="2"/>
        <v>189541</v>
      </c>
      <c r="L25" s="595">
        <f t="shared" si="2"/>
        <v>670272.40000002086</v>
      </c>
    </row>
    <row r="26" spans="1:12" ht="13">
      <c r="A26" s="572">
        <f t="shared" si="3"/>
        <v>16</v>
      </c>
      <c r="B26" s="593" t="s">
        <v>1282</v>
      </c>
      <c r="C26" s="861">
        <f t="shared" si="4"/>
        <v>722667.31</v>
      </c>
      <c r="D26" s="1293">
        <v>0</v>
      </c>
      <c r="E26" s="1293">
        <v>722667.31</v>
      </c>
      <c r="F26" s="1294"/>
      <c r="G26" s="862">
        <f t="shared" si="0"/>
        <v>0</v>
      </c>
      <c r="H26" s="1043">
        <v>0</v>
      </c>
      <c r="I26" s="1043">
        <v>0</v>
      </c>
      <c r="J26" s="595">
        <f t="shared" si="1"/>
        <v>722667.31</v>
      </c>
      <c r="K26" s="595">
        <f t="shared" si="2"/>
        <v>0</v>
      </c>
      <c r="L26" s="595">
        <f t="shared" si="2"/>
        <v>722667.31</v>
      </c>
    </row>
    <row r="27" spans="1:12" ht="13">
      <c r="A27" s="572">
        <f t="shared" si="3"/>
        <v>17</v>
      </c>
      <c r="B27" s="593" t="s">
        <v>2319</v>
      </c>
      <c r="C27" s="861">
        <f t="shared" si="4"/>
        <v>16765926.459999997</v>
      </c>
      <c r="D27" s="1293">
        <v>37815.19999999999</v>
      </c>
      <c r="E27" s="1293">
        <v>16728111.259999998</v>
      </c>
      <c r="F27" s="1294"/>
      <c r="G27" s="863">
        <f t="shared" si="0"/>
        <v>0</v>
      </c>
      <c r="H27" s="1043">
        <v>0</v>
      </c>
      <c r="I27" s="1043">
        <v>0</v>
      </c>
      <c r="J27" s="595">
        <f t="shared" si="1"/>
        <v>16765926.459999997</v>
      </c>
      <c r="K27" s="595">
        <f t="shared" si="2"/>
        <v>37815.19999999999</v>
      </c>
      <c r="L27" s="595">
        <f t="shared" si="2"/>
        <v>16728111.259999998</v>
      </c>
    </row>
    <row r="28" spans="1:12" ht="13">
      <c r="A28" s="109">
        <f t="shared" si="3"/>
        <v>18</v>
      </c>
      <c r="B28" s="593" t="s">
        <v>1283</v>
      </c>
      <c r="C28" s="861">
        <f t="shared" si="4"/>
        <v>41012.32</v>
      </c>
      <c r="D28" s="1293">
        <v>0</v>
      </c>
      <c r="E28" s="1293">
        <v>41012.32</v>
      </c>
      <c r="F28" s="1294"/>
      <c r="G28" s="862">
        <f t="shared" si="0"/>
        <v>0</v>
      </c>
      <c r="H28" s="1043">
        <v>0</v>
      </c>
      <c r="I28" s="1043">
        <v>0</v>
      </c>
      <c r="J28" s="881">
        <f t="shared" si="1"/>
        <v>41012.32</v>
      </c>
      <c r="K28" s="881">
        <f t="shared" ref="K28:L40" si="5">D28+H28</f>
        <v>0</v>
      </c>
      <c r="L28" s="881">
        <f t="shared" si="5"/>
        <v>41012.32</v>
      </c>
    </row>
    <row r="29" spans="1:12" ht="13">
      <c r="A29" s="109">
        <f t="shared" si="3"/>
        <v>19</v>
      </c>
      <c r="B29" s="593" t="s">
        <v>1284</v>
      </c>
      <c r="C29" s="861">
        <f t="shared" si="4"/>
        <v>355202.04000000004</v>
      </c>
      <c r="D29" s="1293">
        <v>0</v>
      </c>
      <c r="E29" s="1293">
        <v>355202.04000000004</v>
      </c>
      <c r="F29" s="1294"/>
      <c r="G29" s="863">
        <f t="shared" si="0"/>
        <v>0</v>
      </c>
      <c r="H29" s="1043">
        <v>0</v>
      </c>
      <c r="I29" s="1043">
        <v>0</v>
      </c>
      <c r="J29" s="881">
        <f>SUM(K29:L29)</f>
        <v>355202.04000000004</v>
      </c>
      <c r="K29" s="881">
        <f>D29+H29</f>
        <v>0</v>
      </c>
      <c r="L29" s="881">
        <f>E29+I29</f>
        <v>355202.04000000004</v>
      </c>
    </row>
    <row r="30" spans="1:12" ht="13">
      <c r="A30" s="109">
        <f t="shared" si="3"/>
        <v>20</v>
      </c>
      <c r="B30" s="593" t="s">
        <v>2332</v>
      </c>
      <c r="C30" s="861">
        <f t="shared" si="4"/>
        <v>2516505.65</v>
      </c>
      <c r="D30" s="1293">
        <v>2220917.7799999998</v>
      </c>
      <c r="E30" s="1293">
        <v>295587.87</v>
      </c>
      <c r="F30" s="1294"/>
      <c r="G30" s="862">
        <f t="shared" si="0"/>
        <v>0</v>
      </c>
      <c r="H30" s="1043">
        <v>0</v>
      </c>
      <c r="I30" s="1043">
        <v>0</v>
      </c>
      <c r="J30" s="595">
        <f t="shared" si="1"/>
        <v>2516505.65</v>
      </c>
      <c r="K30" s="595">
        <f t="shared" si="5"/>
        <v>2220917.7799999998</v>
      </c>
      <c r="L30" s="595">
        <f t="shared" si="5"/>
        <v>295587.87</v>
      </c>
    </row>
    <row r="31" spans="1:12" ht="13">
      <c r="A31" s="109">
        <f t="shared" si="3"/>
        <v>21</v>
      </c>
      <c r="B31" s="593" t="s">
        <v>1285</v>
      </c>
      <c r="C31" s="861">
        <f t="shared" si="4"/>
        <v>181917.18</v>
      </c>
      <c r="D31" s="1293">
        <v>0</v>
      </c>
      <c r="E31" s="1293">
        <v>181917.18</v>
      </c>
      <c r="F31" s="1294"/>
      <c r="G31" s="862">
        <f t="shared" si="0"/>
        <v>0</v>
      </c>
      <c r="H31" s="1043">
        <v>0</v>
      </c>
      <c r="I31" s="1043">
        <v>0</v>
      </c>
      <c r="J31" s="595">
        <f t="shared" si="1"/>
        <v>181917.18</v>
      </c>
      <c r="K31" s="595">
        <f t="shared" si="5"/>
        <v>0</v>
      </c>
      <c r="L31" s="595">
        <f t="shared" si="5"/>
        <v>181917.18</v>
      </c>
    </row>
    <row r="32" spans="1:12" ht="13">
      <c r="A32" s="109">
        <f t="shared" si="3"/>
        <v>22</v>
      </c>
      <c r="B32" s="593" t="s">
        <v>2333</v>
      </c>
      <c r="C32" s="861">
        <f t="shared" si="4"/>
        <v>42393508.359999999</v>
      </c>
      <c r="D32" s="1293">
        <v>11514.89</v>
      </c>
      <c r="E32" s="1293">
        <v>42381993.469999999</v>
      </c>
      <c r="F32" s="1294" t="s">
        <v>558</v>
      </c>
      <c r="G32" s="862">
        <f t="shared" si="0"/>
        <v>-39147707</v>
      </c>
      <c r="H32" s="1043">
        <v>0</v>
      </c>
      <c r="I32" s="1043">
        <v>-39147707</v>
      </c>
      <c r="J32" s="595">
        <f t="shared" si="1"/>
        <v>3245801.3599999989</v>
      </c>
      <c r="K32" s="595">
        <f t="shared" si="5"/>
        <v>11514.89</v>
      </c>
      <c r="L32" s="595">
        <f t="shared" si="5"/>
        <v>3234286.4699999988</v>
      </c>
    </row>
    <row r="33" spans="1:12" ht="13">
      <c r="A33" s="109">
        <f t="shared" si="3"/>
        <v>23</v>
      </c>
      <c r="B33" s="593" t="s">
        <v>1286</v>
      </c>
      <c r="C33" s="861">
        <f t="shared" si="4"/>
        <v>271140.73</v>
      </c>
      <c r="D33" s="1293">
        <v>0</v>
      </c>
      <c r="E33" s="1293">
        <v>271140.73</v>
      </c>
      <c r="F33" s="1294"/>
      <c r="G33" s="862">
        <f t="shared" si="0"/>
        <v>0</v>
      </c>
      <c r="H33" s="1043">
        <v>0</v>
      </c>
      <c r="I33" s="1043">
        <v>0</v>
      </c>
      <c r="J33" s="595">
        <f t="shared" si="1"/>
        <v>271140.73</v>
      </c>
      <c r="K33" s="595">
        <f t="shared" si="5"/>
        <v>0</v>
      </c>
      <c r="L33" s="595">
        <f t="shared" si="5"/>
        <v>271140.73</v>
      </c>
    </row>
    <row r="34" spans="1:12" ht="13">
      <c r="A34" s="109">
        <f t="shared" si="3"/>
        <v>24</v>
      </c>
      <c r="B34" s="593" t="s">
        <v>2334</v>
      </c>
      <c r="C34" s="861">
        <f t="shared" si="4"/>
        <v>6340851.3300000001</v>
      </c>
      <c r="D34" s="1293">
        <v>4448596.33</v>
      </c>
      <c r="E34" s="1293">
        <v>1892255</v>
      </c>
      <c r="F34" s="1294"/>
      <c r="G34" s="862">
        <f t="shared" si="0"/>
        <v>0</v>
      </c>
      <c r="H34" s="1043">
        <v>0</v>
      </c>
      <c r="I34" s="1043">
        <v>0</v>
      </c>
      <c r="J34" s="595">
        <f t="shared" si="1"/>
        <v>6340851.3300000001</v>
      </c>
      <c r="K34" s="595">
        <f t="shared" si="5"/>
        <v>4448596.33</v>
      </c>
      <c r="L34" s="595">
        <f t="shared" si="5"/>
        <v>1892255</v>
      </c>
    </row>
    <row r="35" spans="1:12" ht="13">
      <c r="A35" s="109">
        <f t="shared" si="3"/>
        <v>25</v>
      </c>
      <c r="B35" s="593" t="s">
        <v>1287</v>
      </c>
      <c r="C35" s="861">
        <f t="shared" si="4"/>
        <v>1222368.99</v>
      </c>
      <c r="D35" s="1293">
        <v>0</v>
      </c>
      <c r="E35" s="1293">
        <v>1222368.99</v>
      </c>
      <c r="F35" s="1294"/>
      <c r="G35" s="862">
        <f t="shared" si="0"/>
        <v>0</v>
      </c>
      <c r="H35" s="1043">
        <v>0</v>
      </c>
      <c r="I35" s="1043">
        <v>0</v>
      </c>
      <c r="J35" s="595">
        <f t="shared" si="1"/>
        <v>1222368.99</v>
      </c>
      <c r="K35" s="595">
        <f t="shared" si="5"/>
        <v>0</v>
      </c>
      <c r="L35" s="595">
        <f t="shared" si="5"/>
        <v>1222368.99</v>
      </c>
    </row>
    <row r="36" spans="1:12" ht="13">
      <c r="A36" s="109">
        <f t="shared" si="3"/>
        <v>26</v>
      </c>
      <c r="B36" s="593" t="s">
        <v>2335</v>
      </c>
      <c r="C36" s="861">
        <f t="shared" si="4"/>
        <v>83935138.560000002</v>
      </c>
      <c r="D36" s="1293">
        <v>13426629.640000002</v>
      </c>
      <c r="E36" s="1293">
        <v>70508508.920000002</v>
      </c>
      <c r="F36" s="1294" t="s">
        <v>559</v>
      </c>
      <c r="G36" s="862">
        <f t="shared" si="0"/>
        <v>21547.599999999999</v>
      </c>
      <c r="H36" s="1043">
        <v>-186.15</v>
      </c>
      <c r="I36" s="1043">
        <v>21733.75</v>
      </c>
      <c r="J36" s="595">
        <f t="shared" si="1"/>
        <v>83956686.159999996</v>
      </c>
      <c r="K36" s="595">
        <f t="shared" si="5"/>
        <v>13426443.490000002</v>
      </c>
      <c r="L36" s="595">
        <f t="shared" si="5"/>
        <v>70530242.670000002</v>
      </c>
    </row>
    <row r="37" spans="1:12" ht="13">
      <c r="A37" s="109">
        <f t="shared" si="3"/>
        <v>27</v>
      </c>
      <c r="B37" s="593" t="s">
        <v>1288</v>
      </c>
      <c r="C37" s="861">
        <f t="shared" si="4"/>
        <v>310336.59999999998</v>
      </c>
      <c r="D37" s="1293">
        <v>0</v>
      </c>
      <c r="E37" s="1293">
        <v>310336.59999999998</v>
      </c>
      <c r="F37" s="1294"/>
      <c r="G37" s="862">
        <f t="shared" si="0"/>
        <v>0</v>
      </c>
      <c r="H37" s="1043">
        <v>0</v>
      </c>
      <c r="I37" s="1043">
        <v>0</v>
      </c>
      <c r="J37" s="595">
        <f t="shared" si="1"/>
        <v>310336.59999999998</v>
      </c>
      <c r="K37" s="595">
        <f t="shared" si="5"/>
        <v>0</v>
      </c>
      <c r="L37" s="595">
        <f t="shared" si="5"/>
        <v>310336.59999999998</v>
      </c>
    </row>
    <row r="38" spans="1:12" ht="13">
      <c r="A38" s="109">
        <f t="shared" si="3"/>
        <v>28</v>
      </c>
      <c r="B38" s="593" t="s">
        <v>2336</v>
      </c>
      <c r="C38" s="861">
        <f t="shared" si="4"/>
        <v>1154121.51</v>
      </c>
      <c r="D38" s="1293">
        <v>251949.50000000003</v>
      </c>
      <c r="E38" s="1293">
        <v>902172.01</v>
      </c>
      <c r="F38" s="1294"/>
      <c r="G38" s="862">
        <f t="shared" si="0"/>
        <v>0</v>
      </c>
      <c r="H38" s="1043">
        <v>0</v>
      </c>
      <c r="I38" s="1043">
        <v>0</v>
      </c>
      <c r="J38" s="595">
        <f t="shared" si="1"/>
        <v>1154121.51</v>
      </c>
      <c r="K38" s="595">
        <f t="shared" si="5"/>
        <v>251949.50000000003</v>
      </c>
      <c r="L38" s="595">
        <f t="shared" si="5"/>
        <v>902172.01</v>
      </c>
    </row>
    <row r="39" spans="1:12" ht="13">
      <c r="A39" s="109">
        <f t="shared" si="3"/>
        <v>29</v>
      </c>
      <c r="B39" s="593" t="s">
        <v>1290</v>
      </c>
      <c r="C39" s="861">
        <f t="shared" si="4"/>
        <v>6805.1</v>
      </c>
      <c r="D39" s="1293">
        <v>0</v>
      </c>
      <c r="E39" s="1293">
        <v>6805.1</v>
      </c>
      <c r="F39" s="1294"/>
      <c r="G39" s="862">
        <f t="shared" si="0"/>
        <v>0</v>
      </c>
      <c r="H39" s="1043">
        <v>0</v>
      </c>
      <c r="I39" s="1043">
        <v>0</v>
      </c>
      <c r="J39" s="595">
        <f t="shared" si="1"/>
        <v>6805.1</v>
      </c>
      <c r="K39" s="595">
        <f t="shared" si="5"/>
        <v>0</v>
      </c>
      <c r="L39" s="595">
        <f t="shared" si="5"/>
        <v>6805.1</v>
      </c>
    </row>
    <row r="40" spans="1:12" ht="13">
      <c r="A40" s="109">
        <f t="shared" si="3"/>
        <v>30</v>
      </c>
      <c r="B40" s="593" t="s">
        <v>2337</v>
      </c>
      <c r="C40" s="861">
        <f t="shared" si="4"/>
        <v>2238849.4800000004</v>
      </c>
      <c r="D40" s="1293">
        <v>1031012.5900000001</v>
      </c>
      <c r="E40" s="1293">
        <v>1207836.8900000004</v>
      </c>
      <c r="F40" s="1294"/>
      <c r="G40" s="862">
        <f t="shared" si="0"/>
        <v>0</v>
      </c>
      <c r="H40" s="1043">
        <v>0</v>
      </c>
      <c r="I40" s="1043">
        <v>0</v>
      </c>
      <c r="J40" s="595">
        <f t="shared" si="1"/>
        <v>2238849.4800000004</v>
      </c>
      <c r="K40" s="595">
        <f t="shared" si="5"/>
        <v>1031012.5900000001</v>
      </c>
      <c r="L40" s="595">
        <f t="shared" si="5"/>
        <v>1207836.8900000004</v>
      </c>
    </row>
    <row r="41" spans="1:12" ht="14">
      <c r="A41" s="109">
        <f t="shared" si="3"/>
        <v>31</v>
      </c>
      <c r="B41" s="530" t="s">
        <v>506</v>
      </c>
      <c r="C41" s="866" t="s">
        <v>76</v>
      </c>
      <c r="D41" s="866" t="s">
        <v>76</v>
      </c>
      <c r="E41" s="866" t="s">
        <v>76</v>
      </c>
      <c r="F41" s="866" t="s">
        <v>76</v>
      </c>
      <c r="G41" s="863">
        <f t="shared" si="0"/>
        <v>0</v>
      </c>
      <c r="H41" s="866" t="s">
        <v>76</v>
      </c>
      <c r="I41" s="866" t="s">
        <v>76</v>
      </c>
      <c r="J41" s="435"/>
      <c r="K41" s="435"/>
      <c r="L41" s="435"/>
    </row>
    <row r="42" spans="1:12" ht="13">
      <c r="A42" s="109">
        <f t="shared" si="3"/>
        <v>32</v>
      </c>
      <c r="B42" s="593" t="s">
        <v>2002</v>
      </c>
      <c r="C42" s="867">
        <v>0</v>
      </c>
      <c r="D42" s="867">
        <v>0</v>
      </c>
      <c r="E42" s="867">
        <v>0</v>
      </c>
      <c r="F42" s="883"/>
      <c r="G42" s="868">
        <f t="shared" si="0"/>
        <v>5522667.8240258014</v>
      </c>
      <c r="H42" s="869">
        <f>+C64*C145</f>
        <v>5522667.8240258014</v>
      </c>
      <c r="I42" s="869">
        <v>0</v>
      </c>
      <c r="J42" s="870">
        <f t="shared" si="1"/>
        <v>5522667.8240258014</v>
      </c>
      <c r="K42" s="870">
        <f>D42+H42</f>
        <v>5522667.8240258014</v>
      </c>
      <c r="L42" s="870">
        <f>E42+I42</f>
        <v>0</v>
      </c>
    </row>
    <row r="43" spans="1:12" ht="13">
      <c r="A43" s="109">
        <f t="shared" si="3"/>
        <v>33</v>
      </c>
      <c r="B43" s="436" t="s">
        <v>1291</v>
      </c>
      <c r="C43" s="861">
        <f>SUM(D43:E43)</f>
        <v>458436960.50000006</v>
      </c>
      <c r="D43" s="871">
        <f>SUM(D11:D42)</f>
        <v>92817022.569999978</v>
      </c>
      <c r="E43" s="871">
        <f>SUM(E11:E42)</f>
        <v>365619937.93000007</v>
      </c>
      <c r="F43" s="872"/>
      <c r="G43" s="873">
        <f t="shared" ref="G43:L43" si="6">SUM(G11:G42)</f>
        <v>-204321954.18597418</v>
      </c>
      <c r="H43" s="874">
        <f t="shared" si="6"/>
        <v>5516630.6140258014</v>
      </c>
      <c r="I43" s="874">
        <f t="shared" si="6"/>
        <v>-209838584.79999998</v>
      </c>
      <c r="J43" s="874">
        <f t="shared" si="6"/>
        <v>254115006.31402579</v>
      </c>
      <c r="K43" s="874">
        <f t="shared" si="6"/>
        <v>98333653.184025779</v>
      </c>
      <c r="L43" s="874">
        <f t="shared" si="6"/>
        <v>155781353.13</v>
      </c>
    </row>
    <row r="44" spans="1:12" ht="13">
      <c r="A44" s="109">
        <f t="shared" si="3"/>
        <v>34</v>
      </c>
      <c r="B44" s="512"/>
      <c r="C44" s="875"/>
      <c r="D44" s="876"/>
      <c r="E44" s="876"/>
      <c r="F44" s="877"/>
      <c r="G44" s="878"/>
      <c r="H44" s="879"/>
      <c r="I44" s="879"/>
      <c r="J44" s="595"/>
      <c r="K44" s="595"/>
      <c r="L44" s="595"/>
    </row>
    <row r="45" spans="1:12" ht="13">
      <c r="A45" s="572"/>
      <c r="B45" s="437"/>
      <c r="C45" s="876"/>
      <c r="D45" s="876"/>
      <c r="E45" s="876"/>
      <c r="F45" s="877"/>
      <c r="G45" s="880"/>
      <c r="H45" s="876"/>
      <c r="I45" s="876"/>
      <c r="J45" s="876"/>
      <c r="K45" s="876"/>
      <c r="L45" s="876"/>
    </row>
    <row r="46" spans="1:12" ht="13">
      <c r="A46" s="572"/>
      <c r="B46" s="425" t="s">
        <v>359</v>
      </c>
      <c r="C46" s="425" t="s">
        <v>343</v>
      </c>
      <c r="D46" s="425" t="s">
        <v>344</v>
      </c>
      <c r="E46" s="425" t="s">
        <v>345</v>
      </c>
      <c r="F46" s="426" t="s">
        <v>346</v>
      </c>
      <c r="G46" s="425" t="s">
        <v>347</v>
      </c>
      <c r="H46" s="425" t="s">
        <v>348</v>
      </c>
      <c r="I46" s="425" t="s">
        <v>537</v>
      </c>
      <c r="J46" s="425" t="s">
        <v>954</v>
      </c>
      <c r="K46" s="425" t="s">
        <v>967</v>
      </c>
      <c r="L46" s="425" t="s">
        <v>970</v>
      </c>
    </row>
    <row r="47" spans="1:12" ht="13">
      <c r="A47" s="572"/>
      <c r="B47" s="437"/>
      <c r="C47" s="561" t="s">
        <v>1262</v>
      </c>
      <c r="D47" s="423"/>
      <c r="E47" s="423"/>
      <c r="F47" s="854" t="s">
        <v>361</v>
      </c>
      <c r="G47" s="561" t="s">
        <v>1263</v>
      </c>
      <c r="H47" s="427"/>
      <c r="I47" s="427"/>
      <c r="J47" s="561" t="s">
        <v>1264</v>
      </c>
      <c r="K47" s="561" t="s">
        <v>1265</v>
      </c>
      <c r="L47" s="562" t="s">
        <v>1266</v>
      </c>
    </row>
    <row r="48" spans="1:12" ht="13">
      <c r="A48" s="572"/>
      <c r="C48" s="875"/>
      <c r="D48" s="876"/>
      <c r="E48" s="876"/>
      <c r="F48" s="877"/>
      <c r="G48" s="878"/>
      <c r="H48" s="876"/>
      <c r="I48" s="876"/>
      <c r="J48" s="595"/>
      <c r="K48" s="595"/>
      <c r="L48" s="595"/>
    </row>
    <row r="49" spans="1:12" ht="13">
      <c r="A49" s="572"/>
      <c r="B49" s="1400" t="s">
        <v>1267</v>
      </c>
      <c r="C49" s="1402" t="s">
        <v>1268</v>
      </c>
      <c r="D49" s="1402"/>
      <c r="E49" s="1402"/>
      <c r="F49" s="429"/>
      <c r="G49" s="1398" t="s">
        <v>1269</v>
      </c>
      <c r="H49" s="1398"/>
      <c r="I49" s="1399"/>
      <c r="J49" s="1397" t="s">
        <v>1270</v>
      </c>
      <c r="K49" s="1398"/>
      <c r="L49" s="1399"/>
    </row>
    <row r="50" spans="1:12" ht="13">
      <c r="A50" s="572"/>
      <c r="B50" s="1401"/>
      <c r="C50" s="853" t="s">
        <v>196</v>
      </c>
      <c r="D50" s="853" t="s">
        <v>1271</v>
      </c>
      <c r="E50" s="430" t="s">
        <v>1272</v>
      </c>
      <c r="F50" s="431" t="s">
        <v>1214</v>
      </c>
      <c r="G50" s="430" t="s">
        <v>196</v>
      </c>
      <c r="H50" s="430" t="s">
        <v>1271</v>
      </c>
      <c r="I50" s="430" t="s">
        <v>1272</v>
      </c>
      <c r="J50" s="853" t="s">
        <v>196</v>
      </c>
      <c r="K50" s="430" t="s">
        <v>1271</v>
      </c>
      <c r="L50" s="430" t="s">
        <v>1272</v>
      </c>
    </row>
    <row r="51" spans="1:12" ht="13">
      <c r="A51" s="572"/>
      <c r="B51" s="438" t="s">
        <v>1292</v>
      </c>
      <c r="C51" s="254"/>
      <c r="D51" s="254"/>
      <c r="E51" s="433"/>
      <c r="F51" s="434"/>
      <c r="G51" s="433"/>
      <c r="H51" s="433"/>
      <c r="I51" s="433"/>
      <c r="J51" s="254"/>
      <c r="K51" s="433"/>
      <c r="L51" s="433"/>
    </row>
    <row r="52" spans="1:12" ht="13">
      <c r="A52" s="109">
        <f>A44+1</f>
        <v>35</v>
      </c>
      <c r="B52" s="593" t="s">
        <v>2322</v>
      </c>
      <c r="C52" s="881">
        <f>SUM(D52:E52)</f>
        <v>34054378.589999996</v>
      </c>
      <c r="D52" s="1043">
        <v>25926356.369999997</v>
      </c>
      <c r="E52" s="1043">
        <v>8128022.2200000016</v>
      </c>
      <c r="F52" s="1162"/>
      <c r="G52" s="878">
        <f t="shared" ref="G52:G57" si="7">SUM(H52:I52)</f>
        <v>0</v>
      </c>
      <c r="H52" s="1043">
        <v>0</v>
      </c>
      <c r="I52" s="1043">
        <v>0</v>
      </c>
      <c r="J52" s="595">
        <f>SUM(K52:L52)</f>
        <v>34054378.589999996</v>
      </c>
      <c r="K52" s="595">
        <f t="shared" ref="K52:L57" si="8">D52+H52</f>
        <v>25926356.369999997</v>
      </c>
      <c r="L52" s="595">
        <f t="shared" si="8"/>
        <v>8128022.2200000016</v>
      </c>
    </row>
    <row r="53" spans="1:12" ht="13">
      <c r="A53" s="109">
        <f t="shared" ref="A53:A62" si="9">A52+1</f>
        <v>36</v>
      </c>
      <c r="B53" s="593" t="s">
        <v>1293</v>
      </c>
      <c r="C53" s="881">
        <f>SUM(D53:E53)</f>
        <v>2484194.8299999996</v>
      </c>
      <c r="D53" s="1043">
        <v>2220718.5499999998</v>
      </c>
      <c r="E53" s="1043">
        <v>263476.27999999991</v>
      </c>
      <c r="F53" s="1162"/>
      <c r="G53" s="878">
        <f t="shared" si="7"/>
        <v>0</v>
      </c>
      <c r="H53" s="1043">
        <v>0</v>
      </c>
      <c r="I53" s="1043">
        <v>0</v>
      </c>
      <c r="J53" s="595">
        <f>SUM(K53:L53)</f>
        <v>2484194.8299999996</v>
      </c>
      <c r="K53" s="595">
        <f t="shared" si="8"/>
        <v>2220718.5499999998</v>
      </c>
      <c r="L53" s="595">
        <f t="shared" si="8"/>
        <v>263476.27999999991</v>
      </c>
    </row>
    <row r="54" spans="1:12" ht="13">
      <c r="A54" s="109">
        <f t="shared" si="9"/>
        <v>37</v>
      </c>
      <c r="B54" s="593" t="s">
        <v>1294</v>
      </c>
      <c r="C54" s="881">
        <f>SUM(D54:E54)</f>
        <v>71779.349999999991</v>
      </c>
      <c r="D54" s="1043">
        <v>14366.999999999998</v>
      </c>
      <c r="E54" s="1043">
        <v>57412.35</v>
      </c>
      <c r="F54" s="1162"/>
      <c r="G54" s="878">
        <f t="shared" si="7"/>
        <v>0</v>
      </c>
      <c r="H54" s="1043">
        <v>0</v>
      </c>
      <c r="I54" s="1043">
        <v>0</v>
      </c>
      <c r="J54" s="595">
        <f>SUM(K54:L54)</f>
        <v>71779.349999999991</v>
      </c>
      <c r="K54" s="595">
        <f t="shared" si="8"/>
        <v>14366.999999999998</v>
      </c>
      <c r="L54" s="595">
        <f t="shared" si="8"/>
        <v>57412.35</v>
      </c>
    </row>
    <row r="55" spans="1:12" ht="13">
      <c r="A55" s="109">
        <f t="shared" si="9"/>
        <v>38</v>
      </c>
      <c r="B55" s="593" t="s">
        <v>2323</v>
      </c>
      <c r="C55" s="881">
        <f>SUM(D55:E55)</f>
        <v>7317361.4299999997</v>
      </c>
      <c r="D55" s="1043">
        <v>4047089.31</v>
      </c>
      <c r="E55" s="1043">
        <v>3270272.12</v>
      </c>
      <c r="F55" s="1162"/>
      <c r="G55" s="878">
        <f t="shared" si="7"/>
        <v>0</v>
      </c>
      <c r="H55" s="1043">
        <v>0</v>
      </c>
      <c r="I55" s="1043">
        <v>0</v>
      </c>
      <c r="J55" s="595">
        <f>SUM(K55:L55)</f>
        <v>7317361.4299999997</v>
      </c>
      <c r="K55" s="595">
        <f t="shared" si="8"/>
        <v>4047089.31</v>
      </c>
      <c r="L55" s="595">
        <f t="shared" si="8"/>
        <v>3270272.12</v>
      </c>
    </row>
    <row r="56" spans="1:12" ht="13">
      <c r="A56" s="109">
        <f t="shared" si="9"/>
        <v>39</v>
      </c>
      <c r="B56" s="593" t="s">
        <v>1295</v>
      </c>
      <c r="C56" s="881">
        <f>SUM(D56:E56)</f>
        <v>927148405.26999903</v>
      </c>
      <c r="D56" s="1043">
        <v>256662371.03000003</v>
      </c>
      <c r="E56" s="1043">
        <v>670486034.23999906</v>
      </c>
      <c r="F56" s="1162" t="s">
        <v>2836</v>
      </c>
      <c r="G56" s="956">
        <f t="shared" si="7"/>
        <v>-11169205.01</v>
      </c>
      <c r="H56" s="1043">
        <f>-305307.07-597000</f>
        <v>-902307.07000000007</v>
      </c>
      <c r="I56" s="1043">
        <f>-8893754.94-1373143</f>
        <v>-10266897.939999999</v>
      </c>
      <c r="J56" s="595">
        <f>C56+G56</f>
        <v>915979200.25999904</v>
      </c>
      <c r="K56" s="595">
        <f t="shared" si="8"/>
        <v>255760063.96000004</v>
      </c>
      <c r="L56" s="595">
        <f t="shared" si="8"/>
        <v>660219136.299999</v>
      </c>
    </row>
    <row r="57" spans="1:12" ht="13">
      <c r="A57" s="109">
        <f>A56+1</f>
        <v>40</v>
      </c>
      <c r="B57" s="593" t="s">
        <v>2003</v>
      </c>
      <c r="C57" s="867">
        <v>0</v>
      </c>
      <c r="D57" s="867">
        <v>0</v>
      </c>
      <c r="E57" s="867">
        <v>0</v>
      </c>
      <c r="F57" s="883"/>
      <c r="G57" s="882">
        <f t="shared" si="7"/>
        <v>17187989.800097771</v>
      </c>
      <c r="H57" s="883">
        <f>+C64*C146</f>
        <v>17187989.800097771</v>
      </c>
      <c r="I57" s="883">
        <v>0</v>
      </c>
      <c r="J57" s="884">
        <f>SUM(K57:L57)</f>
        <v>17187989.800097771</v>
      </c>
      <c r="K57" s="884">
        <f t="shared" si="8"/>
        <v>17187989.800097771</v>
      </c>
      <c r="L57" s="884">
        <f t="shared" si="8"/>
        <v>0</v>
      </c>
    </row>
    <row r="58" spans="1:12" ht="13">
      <c r="A58" s="109">
        <f t="shared" si="9"/>
        <v>41</v>
      </c>
      <c r="B58" s="437" t="s">
        <v>1296</v>
      </c>
      <c r="C58" s="876">
        <f>SUM(C52:C57)</f>
        <v>971076119.46999907</v>
      </c>
      <c r="D58" s="876">
        <f>SUM(D52:D57)</f>
        <v>288870902.26000005</v>
      </c>
      <c r="E58" s="876">
        <f>SUM(E52:E57)</f>
        <v>682205217.20999908</v>
      </c>
      <c r="F58" s="877"/>
      <c r="G58" s="880">
        <f t="shared" ref="G58:L58" si="10">SUM(G52:G57)</f>
        <v>6018784.7900977712</v>
      </c>
      <c r="H58" s="876">
        <f t="shared" si="10"/>
        <v>16285682.730097771</v>
      </c>
      <c r="I58" s="876">
        <f t="shared" si="10"/>
        <v>-10266897.939999999</v>
      </c>
      <c r="J58" s="876">
        <f t="shared" si="10"/>
        <v>977094904.26009691</v>
      </c>
      <c r="K58" s="876">
        <f t="shared" si="10"/>
        <v>305156584.99009782</v>
      </c>
      <c r="L58" s="876">
        <f t="shared" si="10"/>
        <v>671938319.26999903</v>
      </c>
    </row>
    <row r="59" spans="1:12" ht="13">
      <c r="A59" s="109">
        <f t="shared" si="9"/>
        <v>42</v>
      </c>
      <c r="B59" s="875"/>
      <c r="C59" s="881"/>
      <c r="D59" s="876"/>
      <c r="E59" s="876"/>
      <c r="F59" s="885"/>
      <c r="G59" s="878"/>
      <c r="H59" s="879"/>
      <c r="I59" s="879"/>
      <c r="J59" s="595"/>
      <c r="K59" s="595"/>
      <c r="L59" s="595"/>
    </row>
    <row r="60" spans="1:12" ht="13">
      <c r="A60" s="109">
        <f t="shared" si="9"/>
        <v>43</v>
      </c>
      <c r="B60" s="437" t="s">
        <v>1297</v>
      </c>
      <c r="C60" s="881">
        <f>+C43+C58</f>
        <v>1429513079.9699991</v>
      </c>
      <c r="D60" s="881">
        <f>D58+D43</f>
        <v>381687924.83000004</v>
      </c>
      <c r="E60" s="881">
        <f>E58+E43</f>
        <v>1047825155.1399992</v>
      </c>
      <c r="F60" s="886"/>
      <c r="G60" s="878">
        <f>+G43+G58</f>
        <v>-198303169.39587641</v>
      </c>
      <c r="H60" s="595">
        <f>H58+H43</f>
        <v>21802313.344123572</v>
      </c>
      <c r="I60" s="595">
        <f>I58+I43</f>
        <v>-220105482.73999998</v>
      </c>
      <c r="J60" s="595">
        <f>J58+J43</f>
        <v>1231209910.5741227</v>
      </c>
      <c r="K60" s="595">
        <f>K58+K43</f>
        <v>403490238.17412359</v>
      </c>
      <c r="L60" s="595">
        <f>L58+L43</f>
        <v>827719672.39999902</v>
      </c>
    </row>
    <row r="61" spans="1:12" ht="13">
      <c r="A61" s="109">
        <f t="shared" si="9"/>
        <v>44</v>
      </c>
      <c r="B61" s="875"/>
      <c r="C61" s="875"/>
      <c r="D61" s="875"/>
      <c r="E61" s="875"/>
      <c r="F61" s="886"/>
      <c r="G61" s="887"/>
      <c r="H61" s="879"/>
      <c r="I61" s="879"/>
      <c r="J61" s="512"/>
      <c r="K61" s="512"/>
      <c r="L61" s="512"/>
    </row>
    <row r="62" spans="1:12" ht="13">
      <c r="A62" s="109">
        <f t="shared" si="9"/>
        <v>45</v>
      </c>
      <c r="B62" s="593" t="s">
        <v>1298</v>
      </c>
      <c r="C62" s="1161">
        <v>458436959</v>
      </c>
      <c r="D62" s="888" t="s">
        <v>1299</v>
      </c>
      <c r="E62" s="881" t="str">
        <f>"Must equal Line "&amp;A43&amp;", Column 2."</f>
        <v>Must equal Line 33, Column 2.</v>
      </c>
      <c r="F62" s="886"/>
      <c r="G62" s="439"/>
      <c r="H62" s="440"/>
      <c r="I62" s="440"/>
      <c r="J62" s="440"/>
      <c r="K62" s="440"/>
      <c r="L62" s="440"/>
    </row>
    <row r="63" spans="1:12" ht="13">
      <c r="A63" s="109">
        <f>A62+1</f>
        <v>46</v>
      </c>
      <c r="B63" s="593" t="s">
        <v>1300</v>
      </c>
      <c r="C63" s="1161">
        <v>971076120</v>
      </c>
      <c r="D63" s="888" t="s">
        <v>2463</v>
      </c>
      <c r="E63" s="881" t="str">
        <f>"Must equal Line "&amp;A58&amp;", Column 2."</f>
        <v>Must equal Line 41, Column 2.</v>
      </c>
      <c r="F63" s="886"/>
      <c r="G63" s="878"/>
      <c r="H63" s="595"/>
      <c r="I63" s="595"/>
      <c r="J63" s="595"/>
      <c r="K63" s="595"/>
      <c r="L63" s="595"/>
    </row>
    <row r="64" spans="1:12" ht="13">
      <c r="A64" s="109">
        <f>A63+1</f>
        <v>47</v>
      </c>
      <c r="B64" s="593" t="s">
        <v>2004</v>
      </c>
      <c r="C64" s="889">
        <f>'20-AandG'!E64</f>
        <v>22710657.624123573</v>
      </c>
      <c r="D64" s="888" t="str">
        <f>"20-AandG, Note 2, "&amp;'20-AandG'!B64&amp;""</f>
        <v>20-AandG, Note 2, f</v>
      </c>
      <c r="E64" s="881"/>
      <c r="F64" s="572"/>
      <c r="G64" s="878"/>
      <c r="H64" s="595"/>
      <c r="I64" s="595"/>
      <c r="J64" s="595"/>
      <c r="K64" s="595"/>
      <c r="L64" s="595"/>
    </row>
    <row r="65" spans="1:12" ht="13">
      <c r="A65" s="441"/>
      <c r="C65" s="442"/>
      <c r="D65" s="881"/>
      <c r="E65" s="881"/>
      <c r="F65" s="886"/>
      <c r="G65" s="878"/>
      <c r="H65" s="595"/>
      <c r="I65" s="595"/>
      <c r="J65" s="595"/>
      <c r="K65" s="595"/>
      <c r="L65" s="595"/>
    </row>
    <row r="66" spans="1:12" ht="13">
      <c r="A66" s="512"/>
      <c r="B66" s="414" t="s">
        <v>1373</v>
      </c>
      <c r="C66" s="875"/>
      <c r="D66" s="875"/>
      <c r="E66" s="875"/>
      <c r="F66" s="886"/>
      <c r="G66" s="887"/>
      <c r="H66" s="512"/>
      <c r="I66" s="512"/>
      <c r="J66" s="512"/>
      <c r="K66" s="512"/>
      <c r="L66" s="512"/>
    </row>
    <row r="67" spans="1:12">
      <c r="A67" s="512"/>
      <c r="C67" s="875"/>
      <c r="D67" s="875"/>
      <c r="E67" s="875"/>
      <c r="F67" s="886"/>
      <c r="G67" s="887"/>
      <c r="H67" s="512"/>
      <c r="I67" s="512"/>
      <c r="J67" s="512"/>
      <c r="K67" s="512"/>
      <c r="L67" s="512"/>
    </row>
    <row r="68" spans="1:12" ht="13">
      <c r="A68" s="512"/>
      <c r="B68" s="84" t="s">
        <v>359</v>
      </c>
      <c r="C68" s="425" t="s">
        <v>343</v>
      </c>
      <c r="D68" s="425" t="s">
        <v>344</v>
      </c>
      <c r="E68" s="425" t="s">
        <v>345</v>
      </c>
      <c r="F68" s="426" t="s">
        <v>346</v>
      </c>
      <c r="G68" s="425" t="s">
        <v>347</v>
      </c>
      <c r="H68" s="425" t="s">
        <v>348</v>
      </c>
      <c r="I68" s="425" t="s">
        <v>537</v>
      </c>
      <c r="J68" s="957" t="s">
        <v>954</v>
      </c>
      <c r="K68" s="358"/>
      <c r="L68" s="84"/>
    </row>
    <row r="69" spans="1:12">
      <c r="A69" s="512"/>
      <c r="C69" s="875" t="s">
        <v>1301</v>
      </c>
      <c r="D69" s="875" t="s">
        <v>1302</v>
      </c>
      <c r="E69" s="875" t="s">
        <v>1303</v>
      </c>
      <c r="F69" s="887" t="s">
        <v>1175</v>
      </c>
      <c r="G69" s="562" t="s">
        <v>1263</v>
      </c>
      <c r="H69" s="563" t="s">
        <v>1665</v>
      </c>
      <c r="I69" s="563" t="s">
        <v>1666</v>
      </c>
      <c r="J69" s="487"/>
      <c r="K69" s="875"/>
      <c r="L69" s="512"/>
    </row>
    <row r="70" spans="1:12">
      <c r="C70" s="875"/>
      <c r="D70" s="875"/>
      <c r="E70" s="875"/>
      <c r="F70" s="886"/>
      <c r="G70" s="887"/>
      <c r="H70" s="512"/>
      <c r="I70" s="512"/>
      <c r="J70" s="875"/>
      <c r="K70" s="875"/>
      <c r="L70" s="512"/>
    </row>
    <row r="71" spans="1:12" ht="13">
      <c r="A71" s="428"/>
      <c r="B71" s="1406" t="s">
        <v>1267</v>
      </c>
      <c r="C71" s="1397" t="s">
        <v>1270</v>
      </c>
      <c r="D71" s="1398"/>
      <c r="E71" s="1399"/>
      <c r="F71" s="443" t="s">
        <v>1432</v>
      </c>
      <c r="G71" s="1403" t="s">
        <v>1304</v>
      </c>
      <c r="H71" s="1404"/>
      <c r="I71" s="1405"/>
      <c r="J71" s="958" t="s">
        <v>1732</v>
      </c>
      <c r="K71" s="875"/>
    </row>
    <row r="72" spans="1:12" ht="13">
      <c r="B72" s="1406"/>
      <c r="C72" s="853" t="s">
        <v>196</v>
      </c>
      <c r="D72" s="430" t="s">
        <v>1271</v>
      </c>
      <c r="E72" s="430" t="s">
        <v>1272</v>
      </c>
      <c r="F72" s="443" t="s">
        <v>428</v>
      </c>
      <c r="G72" s="853" t="s">
        <v>196</v>
      </c>
      <c r="H72" s="430" t="s">
        <v>1271</v>
      </c>
      <c r="I72" s="430" t="s">
        <v>1272</v>
      </c>
      <c r="J72" s="912" t="s">
        <v>205</v>
      </c>
      <c r="K72" s="875"/>
      <c r="L72" s="512"/>
    </row>
    <row r="73" spans="1:12" ht="13">
      <c r="A73" s="51" t="s">
        <v>330</v>
      </c>
      <c r="B73" s="432" t="s">
        <v>1273</v>
      </c>
      <c r="C73" s="254"/>
      <c r="D73" s="433"/>
      <c r="E73" s="433"/>
      <c r="F73" s="444"/>
      <c r="G73" s="254"/>
      <c r="H73" s="433"/>
      <c r="I73" s="433"/>
      <c r="J73" s="487"/>
      <c r="K73" s="875"/>
      <c r="L73" s="512"/>
    </row>
    <row r="74" spans="1:12" ht="13">
      <c r="A74" s="109">
        <f>A64+1</f>
        <v>48</v>
      </c>
      <c r="B74" s="494" t="s">
        <v>2324</v>
      </c>
      <c r="C74" s="881">
        <f t="shared" ref="C74:C103" si="11">J11</f>
        <v>8092114.7699999996</v>
      </c>
      <c r="D74" s="881">
        <f t="shared" ref="D74:D103" si="12">K11</f>
        <v>3966682.8599999994</v>
      </c>
      <c r="E74" s="881">
        <f t="shared" ref="E74:E103" si="13">L11</f>
        <v>4125431.9100000006</v>
      </c>
      <c r="F74" s="897">
        <f>'27-Allocators'!$D$42</f>
        <v>0.37705899970050916</v>
      </c>
      <c r="G74" s="890">
        <f>SUM(H74:I74)</f>
        <v>3051204.7006379161</v>
      </c>
      <c r="H74" s="890">
        <f>D74*F74</f>
        <v>1495673.4713207546</v>
      </c>
      <c r="I74" s="890">
        <f>E74*F74</f>
        <v>1555531.2293171613</v>
      </c>
      <c r="J74" s="614" t="s">
        <v>2338</v>
      </c>
      <c r="K74" s="875"/>
    </row>
    <row r="75" spans="1:12" ht="13">
      <c r="A75" s="109">
        <f t="shared" ref="A75:A107" si="14">A74+1</f>
        <v>49</v>
      </c>
      <c r="B75" s="494" t="s">
        <v>1274</v>
      </c>
      <c r="C75" s="881">
        <f t="shared" si="11"/>
        <v>218858.51</v>
      </c>
      <c r="D75" s="881">
        <f t="shared" si="12"/>
        <v>0</v>
      </c>
      <c r="E75" s="881">
        <f t="shared" si="13"/>
        <v>218858.51</v>
      </c>
      <c r="F75" s="897">
        <v>1</v>
      </c>
      <c r="G75" s="890">
        <f t="shared" ref="G75:G103" si="15">SUM(H75:I75)</f>
        <v>218858.51</v>
      </c>
      <c r="H75" s="890">
        <f t="shared" ref="H75:H103" si="16">D75*F75</f>
        <v>0</v>
      </c>
      <c r="I75" s="890">
        <f t="shared" ref="I75:I103" si="17">E75*F75</f>
        <v>218858.51</v>
      </c>
      <c r="J75" s="1158" t="s">
        <v>2422</v>
      </c>
      <c r="K75" s="875"/>
    </row>
    <row r="76" spans="1:12" ht="13">
      <c r="A76" s="109">
        <f t="shared" si="14"/>
        <v>50</v>
      </c>
      <c r="B76" s="593" t="s">
        <v>2325</v>
      </c>
      <c r="C76" s="881">
        <f t="shared" si="11"/>
        <v>10979778.239999998</v>
      </c>
      <c r="D76" s="881">
        <f t="shared" si="12"/>
        <v>8989791.4899999984</v>
      </c>
      <c r="E76" s="881">
        <f t="shared" si="13"/>
        <v>1989986.7499999998</v>
      </c>
      <c r="F76" s="897">
        <f>'27-Allocators'!$D$42</f>
        <v>0.37705899970050916</v>
      </c>
      <c r="G76" s="890">
        <f t="shared" si="15"/>
        <v>4140024.2001078161</v>
      </c>
      <c r="H76" s="890">
        <f t="shared" si="16"/>
        <v>3389681.7867355491</v>
      </c>
      <c r="I76" s="890">
        <f t="shared" si="17"/>
        <v>750342.41337226715</v>
      </c>
      <c r="J76" s="614" t="s">
        <v>2338</v>
      </c>
      <c r="K76" s="875"/>
    </row>
    <row r="77" spans="1:12" ht="13">
      <c r="A77" s="109">
        <f t="shared" si="14"/>
        <v>51</v>
      </c>
      <c r="B77" s="593" t="s">
        <v>1275</v>
      </c>
      <c r="C77" s="881">
        <f t="shared" si="11"/>
        <v>0</v>
      </c>
      <c r="D77" s="881">
        <f t="shared" si="12"/>
        <v>0</v>
      </c>
      <c r="E77" s="881">
        <f t="shared" si="13"/>
        <v>0</v>
      </c>
      <c r="F77" s="897">
        <v>0</v>
      </c>
      <c r="G77" s="890">
        <f t="shared" si="15"/>
        <v>0</v>
      </c>
      <c r="H77" s="890">
        <f t="shared" si="16"/>
        <v>0</v>
      </c>
      <c r="I77" s="890">
        <f t="shared" si="17"/>
        <v>0</v>
      </c>
      <c r="J77" s="1158" t="s">
        <v>2423</v>
      </c>
      <c r="K77" s="875"/>
    </row>
    <row r="78" spans="1:12" ht="13">
      <c r="A78" s="109">
        <f t="shared" si="14"/>
        <v>52</v>
      </c>
      <c r="B78" s="593" t="s">
        <v>2326</v>
      </c>
      <c r="C78" s="881">
        <f t="shared" si="11"/>
        <v>4579897.2</v>
      </c>
      <c r="D78" s="881">
        <f t="shared" si="12"/>
        <v>4153652.5500000003</v>
      </c>
      <c r="E78" s="881">
        <f t="shared" si="13"/>
        <v>426244.64999999997</v>
      </c>
      <c r="F78" s="897">
        <v>1</v>
      </c>
      <c r="G78" s="890">
        <f t="shared" si="15"/>
        <v>4579897.2</v>
      </c>
      <c r="H78" s="890">
        <f t="shared" si="16"/>
        <v>4153652.5500000003</v>
      </c>
      <c r="I78" s="890">
        <f t="shared" si="17"/>
        <v>426244.64999999997</v>
      </c>
      <c r="J78" s="1158" t="s">
        <v>2422</v>
      </c>
      <c r="K78" s="875"/>
    </row>
    <row r="79" spans="1:12" ht="13">
      <c r="A79" s="109">
        <f t="shared" si="14"/>
        <v>53</v>
      </c>
      <c r="B79" s="593" t="s">
        <v>2327</v>
      </c>
      <c r="C79" s="881">
        <f t="shared" si="11"/>
        <v>21612432.059999999</v>
      </c>
      <c r="D79" s="881">
        <f t="shared" si="12"/>
        <v>17560848.869999997</v>
      </c>
      <c r="E79" s="881">
        <f t="shared" si="13"/>
        <v>4051583.1900000009</v>
      </c>
      <c r="F79" s="897">
        <f>'27-Allocators'!$D$42</f>
        <v>0.37705899970050916</v>
      </c>
      <c r="G79" s="890">
        <f t="shared" si="15"/>
        <v>8149162.013638814</v>
      </c>
      <c r="H79" s="890">
        <f t="shared" si="16"/>
        <v>6621476.108814016</v>
      </c>
      <c r="I79" s="890">
        <f t="shared" si="17"/>
        <v>1527685.9048247982</v>
      </c>
      <c r="J79" s="614" t="s">
        <v>2338</v>
      </c>
      <c r="K79" s="875"/>
    </row>
    <row r="80" spans="1:12" ht="13">
      <c r="A80" s="109">
        <f t="shared" si="14"/>
        <v>54</v>
      </c>
      <c r="B80" s="593" t="s">
        <v>1276</v>
      </c>
      <c r="C80" s="881">
        <f t="shared" si="11"/>
        <v>0</v>
      </c>
      <c r="D80" s="881">
        <f t="shared" si="12"/>
        <v>0</v>
      </c>
      <c r="E80" s="881">
        <f t="shared" si="13"/>
        <v>0</v>
      </c>
      <c r="F80" s="897">
        <v>0</v>
      </c>
      <c r="G80" s="890">
        <f t="shared" si="15"/>
        <v>0</v>
      </c>
      <c r="H80" s="890">
        <f t="shared" si="16"/>
        <v>0</v>
      </c>
      <c r="I80" s="890">
        <f t="shared" si="17"/>
        <v>0</v>
      </c>
      <c r="J80" s="1158" t="s">
        <v>2423</v>
      </c>
      <c r="K80" s="875"/>
    </row>
    <row r="81" spans="1:11" ht="13">
      <c r="A81" s="109">
        <f t="shared" si="14"/>
        <v>55</v>
      </c>
      <c r="B81" s="593" t="s">
        <v>1277</v>
      </c>
      <c r="C81" s="881">
        <f t="shared" si="11"/>
        <v>869792.65</v>
      </c>
      <c r="D81" s="881">
        <f t="shared" si="12"/>
        <v>0</v>
      </c>
      <c r="E81" s="881">
        <f t="shared" si="13"/>
        <v>869792.65</v>
      </c>
      <c r="F81" s="897">
        <v>1</v>
      </c>
      <c r="G81" s="890">
        <f t="shared" si="15"/>
        <v>869792.65</v>
      </c>
      <c r="H81" s="890">
        <f t="shared" si="16"/>
        <v>0</v>
      </c>
      <c r="I81" s="890">
        <f t="shared" si="17"/>
        <v>869792.65</v>
      </c>
      <c r="J81" s="1158" t="s">
        <v>2422</v>
      </c>
      <c r="K81" s="881"/>
    </row>
    <row r="82" spans="1:11" ht="13">
      <c r="A82" s="109">
        <f t="shared" si="14"/>
        <v>56</v>
      </c>
      <c r="B82" s="593" t="s">
        <v>2328</v>
      </c>
      <c r="C82" s="881">
        <f t="shared" si="11"/>
        <v>38009999.060000002</v>
      </c>
      <c r="D82" s="881">
        <f t="shared" si="12"/>
        <v>13523556.27</v>
      </c>
      <c r="E82" s="881">
        <f t="shared" si="13"/>
        <v>24486442.790000007</v>
      </c>
      <c r="F82" s="897">
        <f>'27-Allocators'!$D$30</f>
        <v>0.46941074828250473</v>
      </c>
      <c r="G82" s="890">
        <f t="shared" si="15"/>
        <v>17842302.100971904</v>
      </c>
      <c r="H82" s="890">
        <f t="shared" si="16"/>
        <v>6348102.6681412579</v>
      </c>
      <c r="I82" s="890">
        <f t="shared" si="17"/>
        <v>11494199.432830647</v>
      </c>
      <c r="J82" s="614" t="s">
        <v>2339</v>
      </c>
      <c r="K82" s="875"/>
    </row>
    <row r="83" spans="1:11" ht="12.75" customHeight="1">
      <c r="A83" s="109">
        <f t="shared" si="14"/>
        <v>57</v>
      </c>
      <c r="B83" s="593" t="s">
        <v>2329</v>
      </c>
      <c r="C83" s="888">
        <f t="shared" si="11"/>
        <v>1975667.03</v>
      </c>
      <c r="D83" s="888">
        <f t="shared" si="12"/>
        <v>1703103.03</v>
      </c>
      <c r="E83" s="888">
        <f t="shared" si="13"/>
        <v>272564</v>
      </c>
      <c r="F83" s="897">
        <f>'27-Allocators'!$D$36</f>
        <v>1.2816716950958474E-2</v>
      </c>
      <c r="G83" s="892">
        <f t="shared" si="15"/>
        <v>25321.565112850782</v>
      </c>
      <c r="H83" s="892">
        <f t="shared" si="16"/>
        <v>21828.189473829738</v>
      </c>
      <c r="I83" s="892">
        <f t="shared" si="17"/>
        <v>3493.3756390210456</v>
      </c>
      <c r="J83" s="614" t="s">
        <v>2340</v>
      </c>
      <c r="K83" s="881"/>
    </row>
    <row r="84" spans="1:11" ht="13">
      <c r="A84" s="109">
        <f t="shared" si="14"/>
        <v>58</v>
      </c>
      <c r="B84" s="593" t="s">
        <v>2330</v>
      </c>
      <c r="C84" s="881">
        <f t="shared" si="11"/>
        <v>0</v>
      </c>
      <c r="D84" s="881">
        <f t="shared" si="12"/>
        <v>0</v>
      </c>
      <c r="E84" s="881">
        <f t="shared" si="13"/>
        <v>0</v>
      </c>
      <c r="F84" s="897">
        <v>1</v>
      </c>
      <c r="G84" s="890">
        <f t="shared" si="15"/>
        <v>0</v>
      </c>
      <c r="H84" s="890">
        <f t="shared" si="16"/>
        <v>0</v>
      </c>
      <c r="I84" s="890">
        <f t="shared" si="17"/>
        <v>0</v>
      </c>
      <c r="J84" s="1158" t="s">
        <v>2422</v>
      </c>
      <c r="K84" s="875"/>
    </row>
    <row r="85" spans="1:11" ht="13">
      <c r="A85" s="109">
        <f t="shared" si="14"/>
        <v>59</v>
      </c>
      <c r="B85" s="593" t="s">
        <v>1279</v>
      </c>
      <c r="C85" s="881">
        <f t="shared" si="11"/>
        <v>0</v>
      </c>
      <c r="D85" s="881">
        <f t="shared" si="12"/>
        <v>0</v>
      </c>
      <c r="E85" s="881">
        <f t="shared" si="13"/>
        <v>0</v>
      </c>
      <c r="F85" s="897">
        <v>0</v>
      </c>
      <c r="G85" s="890">
        <f t="shared" si="15"/>
        <v>0</v>
      </c>
      <c r="H85" s="890">
        <f t="shared" si="16"/>
        <v>0</v>
      </c>
      <c r="I85" s="890">
        <f t="shared" si="17"/>
        <v>0</v>
      </c>
      <c r="J85" s="1158" t="s">
        <v>2423</v>
      </c>
      <c r="K85" s="875"/>
    </row>
    <row r="86" spans="1:11" ht="13">
      <c r="A86" s="109">
        <f t="shared" si="14"/>
        <v>60</v>
      </c>
      <c r="B86" s="593" t="s">
        <v>1280</v>
      </c>
      <c r="C86" s="881">
        <f t="shared" si="11"/>
        <v>287070.25</v>
      </c>
      <c r="D86" s="881">
        <f t="shared" si="12"/>
        <v>0</v>
      </c>
      <c r="E86" s="881">
        <f t="shared" si="13"/>
        <v>287070.25</v>
      </c>
      <c r="F86" s="897">
        <v>0</v>
      </c>
      <c r="G86" s="890">
        <f t="shared" si="15"/>
        <v>0</v>
      </c>
      <c r="H86" s="890">
        <f t="shared" si="16"/>
        <v>0</v>
      </c>
      <c r="I86" s="890">
        <f t="shared" si="17"/>
        <v>0</v>
      </c>
      <c r="J86" s="1158" t="s">
        <v>2423</v>
      </c>
      <c r="K86" s="875"/>
    </row>
    <row r="87" spans="1:11" ht="13">
      <c r="A87" s="109">
        <f t="shared" si="14"/>
        <v>61</v>
      </c>
      <c r="B87" s="593" t="s">
        <v>2331</v>
      </c>
      <c r="C87" s="881">
        <f t="shared" si="11"/>
        <v>41776723.099999994</v>
      </c>
      <c r="D87" s="881">
        <f t="shared" si="12"/>
        <v>21295559.50999999</v>
      </c>
      <c r="E87" s="881">
        <f t="shared" si="13"/>
        <v>20481163.590000004</v>
      </c>
      <c r="F87" s="897">
        <f>'27-Allocators'!$D$42</f>
        <v>0.37705899970050916</v>
      </c>
      <c r="G87" s="890">
        <f t="shared" si="15"/>
        <v>15752289.422851153</v>
      </c>
      <c r="H87" s="890">
        <f t="shared" si="16"/>
        <v>8029682.3669032613</v>
      </c>
      <c r="I87" s="890">
        <f t="shared" si="17"/>
        <v>7722607.0559478905</v>
      </c>
      <c r="J87" s="614" t="s">
        <v>2338</v>
      </c>
      <c r="K87" s="881"/>
    </row>
    <row r="88" spans="1:11" ht="13">
      <c r="A88" s="109">
        <f t="shared" si="14"/>
        <v>62</v>
      </c>
      <c r="B88" s="593" t="s">
        <v>1281</v>
      </c>
      <c r="C88" s="881">
        <f t="shared" si="11"/>
        <v>859813.40000002086</v>
      </c>
      <c r="D88" s="881">
        <f t="shared" si="12"/>
        <v>189541</v>
      </c>
      <c r="E88" s="881">
        <f t="shared" si="13"/>
        <v>670272.40000002086</v>
      </c>
      <c r="F88" s="897">
        <v>0</v>
      </c>
      <c r="G88" s="890">
        <f t="shared" si="15"/>
        <v>0</v>
      </c>
      <c r="H88" s="890">
        <f t="shared" si="16"/>
        <v>0</v>
      </c>
      <c r="I88" s="890">
        <f t="shared" si="17"/>
        <v>0</v>
      </c>
      <c r="J88" s="1158" t="s">
        <v>2423</v>
      </c>
      <c r="K88" s="875"/>
    </row>
    <row r="89" spans="1:11" ht="13">
      <c r="A89" s="109">
        <f t="shared" si="14"/>
        <v>63</v>
      </c>
      <c r="B89" s="593" t="s">
        <v>1282</v>
      </c>
      <c r="C89" s="881">
        <f t="shared" si="11"/>
        <v>722667.31</v>
      </c>
      <c r="D89" s="881">
        <f t="shared" si="12"/>
        <v>0</v>
      </c>
      <c r="E89" s="881">
        <f t="shared" si="13"/>
        <v>722667.31</v>
      </c>
      <c r="F89" s="897">
        <v>1</v>
      </c>
      <c r="G89" s="890">
        <f t="shared" si="15"/>
        <v>722667.31</v>
      </c>
      <c r="H89" s="890">
        <f t="shared" si="16"/>
        <v>0</v>
      </c>
      <c r="I89" s="890">
        <f t="shared" si="17"/>
        <v>722667.31</v>
      </c>
      <c r="J89" s="1158" t="s">
        <v>2422</v>
      </c>
      <c r="K89" s="875"/>
    </row>
    <row r="90" spans="1:11" ht="13">
      <c r="A90" s="109">
        <f t="shared" si="14"/>
        <v>64</v>
      </c>
      <c r="B90" s="593" t="s">
        <v>2319</v>
      </c>
      <c r="C90" s="881">
        <f t="shared" si="11"/>
        <v>16765926.459999997</v>
      </c>
      <c r="D90" s="881">
        <f t="shared" si="12"/>
        <v>37815.19999999999</v>
      </c>
      <c r="E90" s="881">
        <f t="shared" si="13"/>
        <v>16728111.259999998</v>
      </c>
      <c r="F90" s="897">
        <f>'27-Allocators'!$D$30</f>
        <v>0.46941074828250473</v>
      </c>
      <c r="G90" s="890">
        <f t="shared" si="15"/>
        <v>7870106.0852380451</v>
      </c>
      <c r="H90" s="890">
        <f t="shared" si="16"/>
        <v>17750.861328452567</v>
      </c>
      <c r="I90" s="890">
        <f t="shared" si="17"/>
        <v>7852355.2239095923</v>
      </c>
      <c r="J90" s="614" t="s">
        <v>2339</v>
      </c>
      <c r="K90" s="881"/>
    </row>
    <row r="91" spans="1:11" ht="13">
      <c r="A91" s="109">
        <f t="shared" si="14"/>
        <v>65</v>
      </c>
      <c r="B91" s="593" t="s">
        <v>1283</v>
      </c>
      <c r="C91" s="881">
        <f t="shared" si="11"/>
        <v>41012.32</v>
      </c>
      <c r="D91" s="881">
        <f t="shared" si="12"/>
        <v>0</v>
      </c>
      <c r="E91" s="881">
        <f t="shared" si="13"/>
        <v>41012.32</v>
      </c>
      <c r="F91" s="897">
        <v>1</v>
      </c>
      <c r="G91" s="890">
        <f t="shared" si="15"/>
        <v>41012.32</v>
      </c>
      <c r="H91" s="890">
        <f t="shared" si="16"/>
        <v>0</v>
      </c>
      <c r="I91" s="890">
        <f t="shared" si="17"/>
        <v>41012.32</v>
      </c>
      <c r="J91" s="1158" t="s">
        <v>2422</v>
      </c>
      <c r="K91" s="487"/>
    </row>
    <row r="92" spans="1:11" ht="13">
      <c r="A92" s="109">
        <f t="shared" si="14"/>
        <v>66</v>
      </c>
      <c r="B92" s="593" t="s">
        <v>1284</v>
      </c>
      <c r="C92" s="881">
        <f t="shared" si="11"/>
        <v>355202.04000000004</v>
      </c>
      <c r="D92" s="881">
        <f t="shared" si="12"/>
        <v>0</v>
      </c>
      <c r="E92" s="881">
        <f t="shared" si="13"/>
        <v>355202.04000000004</v>
      </c>
      <c r="F92" s="897">
        <v>1</v>
      </c>
      <c r="G92" s="890">
        <f>SUM(H92:I92)</f>
        <v>355202.04000000004</v>
      </c>
      <c r="H92" s="890">
        <f>D92*F92</f>
        <v>0</v>
      </c>
      <c r="I92" s="890">
        <f>E92*F92</f>
        <v>355202.04000000004</v>
      </c>
      <c r="J92" s="1158" t="s">
        <v>2422</v>
      </c>
      <c r="K92" s="487"/>
    </row>
    <row r="93" spans="1:11" ht="13">
      <c r="A93" s="109">
        <f t="shared" si="14"/>
        <v>67</v>
      </c>
      <c r="B93" s="593" t="s">
        <v>2332</v>
      </c>
      <c r="C93" s="881">
        <f t="shared" si="11"/>
        <v>2516505.65</v>
      </c>
      <c r="D93" s="881">
        <f t="shared" si="12"/>
        <v>2220917.7799999998</v>
      </c>
      <c r="E93" s="881">
        <f t="shared" si="13"/>
        <v>295587.87</v>
      </c>
      <c r="F93" s="897">
        <f>'27-Allocators'!$D$42</f>
        <v>0.37705899970050916</v>
      </c>
      <c r="G93" s="890">
        <f t="shared" si="15"/>
        <v>948871.10312967945</v>
      </c>
      <c r="H93" s="890">
        <f t="shared" si="16"/>
        <v>837417.03654387535</v>
      </c>
      <c r="I93" s="890">
        <f t="shared" si="17"/>
        <v>111454.06658580413</v>
      </c>
      <c r="J93" s="614" t="s">
        <v>2338</v>
      </c>
      <c r="K93" s="875"/>
    </row>
    <row r="94" spans="1:11" ht="13">
      <c r="A94" s="109">
        <f t="shared" si="14"/>
        <v>68</v>
      </c>
      <c r="B94" s="593" t="s">
        <v>1285</v>
      </c>
      <c r="C94" s="881">
        <f t="shared" si="11"/>
        <v>181917.18</v>
      </c>
      <c r="D94" s="881">
        <f t="shared" si="12"/>
        <v>0</v>
      </c>
      <c r="E94" s="881">
        <f t="shared" si="13"/>
        <v>181917.18</v>
      </c>
      <c r="F94" s="897">
        <v>1</v>
      </c>
      <c r="G94" s="890">
        <f t="shared" si="15"/>
        <v>181917.18</v>
      </c>
      <c r="H94" s="890">
        <f t="shared" si="16"/>
        <v>0</v>
      </c>
      <c r="I94" s="890">
        <f t="shared" si="17"/>
        <v>181917.18</v>
      </c>
      <c r="J94" s="1158" t="s">
        <v>2422</v>
      </c>
      <c r="K94" s="881"/>
    </row>
    <row r="95" spans="1:11" ht="13">
      <c r="A95" s="109">
        <f t="shared" si="14"/>
        <v>69</v>
      </c>
      <c r="B95" s="593" t="s">
        <v>2333</v>
      </c>
      <c r="C95" s="881">
        <f t="shared" si="11"/>
        <v>3245801.3599999989</v>
      </c>
      <c r="D95" s="881">
        <f t="shared" si="12"/>
        <v>11514.89</v>
      </c>
      <c r="E95" s="881">
        <f t="shared" si="13"/>
        <v>3234286.4699999988</v>
      </c>
      <c r="F95" s="897">
        <f>'27-Allocators'!$D$42</f>
        <v>0.37705899970050916</v>
      </c>
      <c r="G95" s="890">
        <f t="shared" si="15"/>
        <v>1223858.6140281518</v>
      </c>
      <c r="H95" s="890">
        <f t="shared" si="16"/>
        <v>4341.7929050613957</v>
      </c>
      <c r="I95" s="890">
        <f t="shared" si="17"/>
        <v>1219516.8211230903</v>
      </c>
      <c r="J95" s="614" t="s">
        <v>2338</v>
      </c>
      <c r="K95" s="487"/>
    </row>
    <row r="96" spans="1:11" ht="13">
      <c r="A96" s="109">
        <f t="shared" si="14"/>
        <v>70</v>
      </c>
      <c r="B96" s="593" t="s">
        <v>1286</v>
      </c>
      <c r="C96" s="881">
        <f t="shared" si="11"/>
        <v>271140.73</v>
      </c>
      <c r="D96" s="881">
        <f t="shared" si="12"/>
        <v>0</v>
      </c>
      <c r="E96" s="881">
        <f t="shared" si="13"/>
        <v>271140.73</v>
      </c>
      <c r="F96" s="897">
        <v>1</v>
      </c>
      <c r="G96" s="890">
        <f t="shared" si="15"/>
        <v>271140.73</v>
      </c>
      <c r="H96" s="890">
        <f t="shared" si="16"/>
        <v>0</v>
      </c>
      <c r="I96" s="890">
        <f t="shared" si="17"/>
        <v>271140.73</v>
      </c>
      <c r="J96" s="1158" t="s">
        <v>2422</v>
      </c>
      <c r="K96" s="487"/>
    </row>
    <row r="97" spans="1:12" ht="13">
      <c r="A97" s="109">
        <f t="shared" si="14"/>
        <v>71</v>
      </c>
      <c r="B97" s="593" t="s">
        <v>2334</v>
      </c>
      <c r="C97" s="881">
        <f t="shared" si="11"/>
        <v>6340851.3300000001</v>
      </c>
      <c r="D97" s="881">
        <f t="shared" si="12"/>
        <v>4448596.33</v>
      </c>
      <c r="E97" s="881">
        <f t="shared" si="13"/>
        <v>1892255</v>
      </c>
      <c r="F97" s="897">
        <f>'27-Allocators'!$D$42</f>
        <v>0.37705899970050916</v>
      </c>
      <c r="G97" s="890">
        <f t="shared" si="15"/>
        <v>2390875.0597394435</v>
      </c>
      <c r="H97" s="890">
        <f t="shared" si="16"/>
        <v>1677383.2822611562</v>
      </c>
      <c r="I97" s="890">
        <f t="shared" si="17"/>
        <v>713491.777478287</v>
      </c>
      <c r="J97" s="614" t="s">
        <v>2338</v>
      </c>
      <c r="K97" s="487"/>
    </row>
    <row r="98" spans="1:12" ht="13">
      <c r="A98" s="109">
        <f t="shared" si="14"/>
        <v>72</v>
      </c>
      <c r="B98" s="593" t="s">
        <v>1287</v>
      </c>
      <c r="C98" s="881">
        <f t="shared" si="11"/>
        <v>1222368.99</v>
      </c>
      <c r="D98" s="881">
        <f t="shared" si="12"/>
        <v>0</v>
      </c>
      <c r="E98" s="881">
        <f t="shared" si="13"/>
        <v>1222368.99</v>
      </c>
      <c r="F98" s="897">
        <v>1</v>
      </c>
      <c r="G98" s="890">
        <f t="shared" si="15"/>
        <v>1222368.99</v>
      </c>
      <c r="H98" s="890">
        <f t="shared" si="16"/>
        <v>0</v>
      </c>
      <c r="I98" s="890">
        <f t="shared" si="17"/>
        <v>1222368.99</v>
      </c>
      <c r="J98" s="1158" t="s">
        <v>2422</v>
      </c>
      <c r="K98" s="487"/>
    </row>
    <row r="99" spans="1:12" ht="13">
      <c r="A99" s="109">
        <f t="shared" si="14"/>
        <v>73</v>
      </c>
      <c r="B99" s="593" t="s">
        <v>2335</v>
      </c>
      <c r="C99" s="881">
        <f t="shared" si="11"/>
        <v>83956686.159999996</v>
      </c>
      <c r="D99" s="881">
        <f t="shared" si="12"/>
        <v>13426443.490000002</v>
      </c>
      <c r="E99" s="881">
        <f t="shared" si="13"/>
        <v>70530242.670000002</v>
      </c>
      <c r="F99" s="897">
        <f>'27-Allocators'!$D$30</f>
        <v>0.46941074828250473</v>
      </c>
      <c r="G99" s="890">
        <f t="shared" si="15"/>
        <v>39410170.87368501</v>
      </c>
      <c r="H99" s="890">
        <f t="shared" si="16"/>
        <v>6302516.8854136653</v>
      </c>
      <c r="I99" s="890">
        <f t="shared" si="17"/>
        <v>33107653.988271344</v>
      </c>
      <c r="J99" s="614" t="s">
        <v>2339</v>
      </c>
      <c r="K99" s="487"/>
    </row>
    <row r="100" spans="1:12" ht="13">
      <c r="A100" s="109">
        <f t="shared" si="14"/>
        <v>74</v>
      </c>
      <c r="B100" s="593" t="s">
        <v>1288</v>
      </c>
      <c r="C100" s="881">
        <f t="shared" si="11"/>
        <v>310336.59999999998</v>
      </c>
      <c r="D100" s="881">
        <f t="shared" si="12"/>
        <v>0</v>
      </c>
      <c r="E100" s="881">
        <f t="shared" si="13"/>
        <v>310336.59999999998</v>
      </c>
      <c r="F100" s="897">
        <v>1</v>
      </c>
      <c r="G100" s="890">
        <f t="shared" si="15"/>
        <v>310336.59999999998</v>
      </c>
      <c r="H100" s="890">
        <f t="shared" si="16"/>
        <v>0</v>
      </c>
      <c r="I100" s="890">
        <f t="shared" si="17"/>
        <v>310336.59999999998</v>
      </c>
      <c r="J100" s="1158" t="s">
        <v>2422</v>
      </c>
      <c r="K100" s="487"/>
    </row>
    <row r="101" spans="1:12" ht="13">
      <c r="A101" s="109">
        <f t="shared" si="14"/>
        <v>75</v>
      </c>
      <c r="B101" s="593" t="s">
        <v>2336</v>
      </c>
      <c r="C101" s="881">
        <f t="shared" si="11"/>
        <v>1154121.51</v>
      </c>
      <c r="D101" s="881">
        <f t="shared" si="12"/>
        <v>251949.50000000003</v>
      </c>
      <c r="E101" s="881">
        <f t="shared" si="13"/>
        <v>902172.01</v>
      </c>
      <c r="F101" s="897">
        <f>'27-Allocators'!$D$36</f>
        <v>1.2816716950958474E-2</v>
      </c>
      <c r="G101" s="890">
        <f t="shared" si="15"/>
        <v>14792.048720682789</v>
      </c>
      <c r="H101" s="890">
        <f t="shared" si="16"/>
        <v>3229.1654274355124</v>
      </c>
      <c r="I101" s="890">
        <f t="shared" si="17"/>
        <v>11562.883293247278</v>
      </c>
      <c r="J101" s="614" t="s">
        <v>2340</v>
      </c>
      <c r="K101" s="487"/>
    </row>
    <row r="102" spans="1:12" ht="13">
      <c r="A102" s="109">
        <f t="shared" si="14"/>
        <v>76</v>
      </c>
      <c r="B102" s="593" t="s">
        <v>1290</v>
      </c>
      <c r="C102" s="881">
        <f t="shared" si="11"/>
        <v>6805.1</v>
      </c>
      <c r="D102" s="881">
        <f t="shared" si="12"/>
        <v>0</v>
      </c>
      <c r="E102" s="881">
        <f t="shared" si="13"/>
        <v>6805.1</v>
      </c>
      <c r="F102" s="897">
        <v>1</v>
      </c>
      <c r="G102" s="890">
        <f t="shared" si="15"/>
        <v>6805.1</v>
      </c>
      <c r="H102" s="890">
        <f t="shared" si="16"/>
        <v>0</v>
      </c>
      <c r="I102" s="890">
        <f t="shared" si="17"/>
        <v>6805.1</v>
      </c>
      <c r="J102" s="1158" t="s">
        <v>2422</v>
      </c>
      <c r="K102" s="487"/>
    </row>
    <row r="103" spans="1:12" ht="13">
      <c r="A103" s="109">
        <f t="shared" si="14"/>
        <v>77</v>
      </c>
      <c r="B103" s="593" t="s">
        <v>2337</v>
      </c>
      <c r="C103" s="881">
        <f t="shared" si="11"/>
        <v>2238849.4800000004</v>
      </c>
      <c r="D103" s="881">
        <f t="shared" si="12"/>
        <v>1031012.5900000001</v>
      </c>
      <c r="E103" s="881">
        <f t="shared" si="13"/>
        <v>1207836.8900000004</v>
      </c>
      <c r="F103" s="897">
        <f>'27-Allocators'!$D$42</f>
        <v>0.37705899970050916</v>
      </c>
      <c r="G103" s="890">
        <f t="shared" si="15"/>
        <v>844178.34540880518</v>
      </c>
      <c r="H103" s="890">
        <f t="shared" si="16"/>
        <v>388752.57586403121</v>
      </c>
      <c r="I103" s="890">
        <f t="shared" si="17"/>
        <v>455425.76954477403</v>
      </c>
      <c r="J103" s="614" t="s">
        <v>2338</v>
      </c>
      <c r="K103" s="487"/>
    </row>
    <row r="104" spans="1:12" ht="13">
      <c r="A104" s="109">
        <f t="shared" si="14"/>
        <v>78</v>
      </c>
      <c r="B104" s="530" t="s">
        <v>506</v>
      </c>
      <c r="C104" s="866" t="s">
        <v>76</v>
      </c>
      <c r="D104" s="866" t="s">
        <v>76</v>
      </c>
      <c r="E104" s="866" t="s">
        <v>76</v>
      </c>
      <c r="F104" s="866" t="s">
        <v>76</v>
      </c>
      <c r="G104" s="866" t="s">
        <v>76</v>
      </c>
      <c r="H104" s="866" t="s">
        <v>76</v>
      </c>
      <c r="I104" s="866" t="s">
        <v>76</v>
      </c>
      <c r="J104" s="487"/>
      <c r="K104" s="487"/>
    </row>
    <row r="105" spans="1:12" ht="13">
      <c r="A105" s="109">
        <f t="shared" si="14"/>
        <v>79</v>
      </c>
      <c r="B105" s="593" t="s">
        <v>2005</v>
      </c>
      <c r="C105" s="893">
        <f>J42</f>
        <v>5522667.8240258014</v>
      </c>
      <c r="D105" s="893">
        <f>K42</f>
        <v>5522667.8240258014</v>
      </c>
      <c r="E105" s="893">
        <f>L42</f>
        <v>0</v>
      </c>
      <c r="F105" s="894"/>
      <c r="G105" s="895">
        <f>SUM(H105:I105)</f>
        <v>2338018.9294083766</v>
      </c>
      <c r="H105" s="895">
        <f>D105*C150</f>
        <v>2338018.9294083766</v>
      </c>
      <c r="I105" s="895">
        <v>0</v>
      </c>
      <c r="J105" s="487"/>
      <c r="K105" s="487"/>
    </row>
    <row r="106" spans="1:12" ht="13">
      <c r="A106" s="109">
        <f t="shared" si="14"/>
        <v>80</v>
      </c>
      <c r="B106" s="436" t="s">
        <v>1305</v>
      </c>
      <c r="C106" s="879">
        <f>SUM(C74:C105)</f>
        <v>254115006.31402579</v>
      </c>
      <c r="D106" s="879">
        <f>SUM(D74:D105)</f>
        <v>98333653.184025779</v>
      </c>
      <c r="E106" s="879">
        <f>SUM(E74:E105)</f>
        <v>155781353.13</v>
      </c>
      <c r="F106" s="896"/>
      <c r="G106" s="879">
        <f>SUM(G74:G105)</f>
        <v>112781173.69267865</v>
      </c>
      <c r="H106" s="879">
        <f>SUM(H74:H105)</f>
        <v>41629507.670540735</v>
      </c>
      <c r="I106" s="879">
        <f>SUM(I74:I105)</f>
        <v>71151666.02213791</v>
      </c>
      <c r="J106" s="487"/>
      <c r="K106" s="855"/>
      <c r="L106" s="487"/>
    </row>
    <row r="107" spans="1:12" ht="13">
      <c r="A107" s="109">
        <f t="shared" si="14"/>
        <v>81</v>
      </c>
      <c r="B107" s="512"/>
      <c r="C107" s="595"/>
      <c r="D107" s="595"/>
      <c r="E107" s="595"/>
      <c r="F107" s="896"/>
      <c r="G107" s="897"/>
      <c r="H107" s="890"/>
      <c r="I107" s="890"/>
      <c r="J107" s="890"/>
      <c r="K107" s="855"/>
    </row>
    <row r="108" spans="1:12" ht="13">
      <c r="A108" s="109"/>
      <c r="B108" s="437"/>
      <c r="C108" s="445"/>
      <c r="D108" s="445"/>
      <c r="E108" s="445"/>
      <c r="F108" s="446"/>
      <c r="G108" s="447"/>
      <c r="H108" s="445"/>
      <c r="I108" s="445"/>
      <c r="J108" s="445"/>
      <c r="K108" s="487"/>
    </row>
    <row r="109" spans="1:12" ht="13">
      <c r="A109" s="109"/>
      <c r="B109" s="84" t="s">
        <v>359</v>
      </c>
      <c r="C109" s="425" t="s">
        <v>343</v>
      </c>
      <c r="D109" s="425" t="s">
        <v>344</v>
      </c>
      <c r="E109" s="425" t="s">
        <v>345</v>
      </c>
      <c r="F109" s="426" t="s">
        <v>346</v>
      </c>
      <c r="G109" s="425" t="s">
        <v>347</v>
      </c>
      <c r="H109" s="425" t="s">
        <v>348</v>
      </c>
      <c r="I109" s="425" t="s">
        <v>537</v>
      </c>
      <c r="J109" s="957" t="s">
        <v>954</v>
      </c>
      <c r="K109" s="487"/>
    </row>
    <row r="110" spans="1:12" ht="13">
      <c r="A110" s="109"/>
      <c r="C110" s="875" t="s">
        <v>1301</v>
      </c>
      <c r="D110" s="875" t="s">
        <v>1302</v>
      </c>
      <c r="E110" s="875" t="s">
        <v>1303</v>
      </c>
      <c r="F110" s="887" t="s">
        <v>1175</v>
      </c>
      <c r="G110" s="562" t="s">
        <v>1263</v>
      </c>
      <c r="H110" s="563" t="s">
        <v>1665</v>
      </c>
      <c r="I110" s="563" t="s">
        <v>1666</v>
      </c>
      <c r="J110" s="487"/>
      <c r="K110" s="487"/>
    </row>
    <row r="111" spans="1:12" ht="13">
      <c r="A111" s="109"/>
      <c r="C111" s="875"/>
      <c r="D111" s="875"/>
      <c r="E111" s="875"/>
      <c r="F111" s="886"/>
      <c r="G111" s="887"/>
      <c r="H111" s="512"/>
      <c r="I111" s="512"/>
      <c r="J111" s="875"/>
      <c r="K111" s="487"/>
    </row>
    <row r="112" spans="1:12" ht="13">
      <c r="A112" s="109"/>
      <c r="B112" s="1406" t="s">
        <v>1267</v>
      </c>
      <c r="C112" s="1397" t="s">
        <v>1270</v>
      </c>
      <c r="D112" s="1398"/>
      <c r="E112" s="1399"/>
      <c r="F112" s="443" t="s">
        <v>1432</v>
      </c>
      <c r="G112" s="1403" t="s">
        <v>1304</v>
      </c>
      <c r="H112" s="1404"/>
      <c r="I112" s="1405"/>
      <c r="J112" s="958" t="s">
        <v>1732</v>
      </c>
      <c r="K112" s="487"/>
    </row>
    <row r="113" spans="1:11" ht="13">
      <c r="A113" s="109"/>
      <c r="B113" s="1406"/>
      <c r="C113" s="853" t="s">
        <v>196</v>
      </c>
      <c r="D113" s="430" t="s">
        <v>1271</v>
      </c>
      <c r="E113" s="430" t="s">
        <v>1272</v>
      </c>
      <c r="F113" s="443" t="s">
        <v>428</v>
      </c>
      <c r="G113" s="853" t="s">
        <v>196</v>
      </c>
      <c r="H113" s="430" t="s">
        <v>1271</v>
      </c>
      <c r="I113" s="430" t="s">
        <v>1272</v>
      </c>
      <c r="J113" s="912" t="s">
        <v>205</v>
      </c>
      <c r="K113" s="487"/>
    </row>
    <row r="114" spans="1:11" ht="12.75" customHeight="1">
      <c r="A114" s="109"/>
      <c r="B114" s="438" t="s">
        <v>1292</v>
      </c>
      <c r="C114" s="595"/>
      <c r="D114" s="595"/>
      <c r="E114" s="595"/>
      <c r="F114" s="896"/>
      <c r="G114" s="897"/>
      <c r="H114" s="890"/>
      <c r="I114" s="890"/>
      <c r="J114" s="890"/>
      <c r="K114" s="487"/>
    </row>
    <row r="115" spans="1:11" ht="12.75" customHeight="1">
      <c r="A115" s="109">
        <f>A107+1</f>
        <v>82</v>
      </c>
      <c r="B115" s="593" t="s">
        <v>2322</v>
      </c>
      <c r="C115" s="595">
        <f t="shared" ref="C115:E118" si="18">J52</f>
        <v>34054378.589999996</v>
      </c>
      <c r="D115" s="595">
        <f t="shared" si="18"/>
        <v>25926356.369999997</v>
      </c>
      <c r="E115" s="595">
        <f t="shared" si="18"/>
        <v>8128022.2200000016</v>
      </c>
      <c r="F115" s="897">
        <f>'27-Allocators'!$D$48</f>
        <v>0</v>
      </c>
      <c r="G115" s="890">
        <f>SUM(H115:I115)</f>
        <v>0</v>
      </c>
      <c r="H115" s="890">
        <f t="shared" ref="H115:H120" si="19">D115*F115</f>
        <v>0</v>
      </c>
      <c r="I115" s="890">
        <f t="shared" ref="I115:I120" si="20">E115*F115</f>
        <v>0</v>
      </c>
      <c r="J115" s="614" t="s">
        <v>2341</v>
      </c>
      <c r="K115" s="487"/>
    </row>
    <row r="116" spans="1:11" ht="12.75" customHeight="1">
      <c r="A116" s="109">
        <f t="shared" ref="A116:A125" si="21">A115+1</f>
        <v>83</v>
      </c>
      <c r="B116" s="593" t="s">
        <v>1293</v>
      </c>
      <c r="C116" s="595">
        <f t="shared" si="18"/>
        <v>2484194.8299999996</v>
      </c>
      <c r="D116" s="595">
        <f t="shared" si="18"/>
        <v>2220718.5499999998</v>
      </c>
      <c r="E116" s="595">
        <f t="shared" si="18"/>
        <v>263476.27999999991</v>
      </c>
      <c r="F116" s="897">
        <f>'27-Allocators'!$D$48</f>
        <v>0</v>
      </c>
      <c r="G116" s="890">
        <f>SUM(H116:I116)</f>
        <v>0</v>
      </c>
      <c r="H116" s="890">
        <f t="shared" si="19"/>
        <v>0</v>
      </c>
      <c r="I116" s="890">
        <f t="shared" si="20"/>
        <v>0</v>
      </c>
      <c r="J116" s="614" t="s">
        <v>2341</v>
      </c>
      <c r="K116" s="487"/>
    </row>
    <row r="117" spans="1:11" ht="12.75" customHeight="1">
      <c r="A117" s="109">
        <f t="shared" si="21"/>
        <v>84</v>
      </c>
      <c r="B117" s="593" t="s">
        <v>1294</v>
      </c>
      <c r="C117" s="595">
        <f t="shared" si="18"/>
        <v>71779.349999999991</v>
      </c>
      <c r="D117" s="595">
        <f t="shared" si="18"/>
        <v>14366.999999999998</v>
      </c>
      <c r="E117" s="595">
        <f t="shared" si="18"/>
        <v>57412.35</v>
      </c>
      <c r="F117" s="897">
        <f>'27-Allocators'!$D$48</f>
        <v>0</v>
      </c>
      <c r="G117" s="890">
        <f>SUM(H117:I117)</f>
        <v>0</v>
      </c>
      <c r="H117" s="890">
        <f t="shared" si="19"/>
        <v>0</v>
      </c>
      <c r="I117" s="890">
        <f t="shared" si="20"/>
        <v>0</v>
      </c>
      <c r="J117" s="614" t="s">
        <v>2341</v>
      </c>
      <c r="K117" s="487"/>
    </row>
    <row r="118" spans="1:11" ht="12.75" customHeight="1">
      <c r="A118" s="109">
        <f t="shared" si="21"/>
        <v>85</v>
      </c>
      <c r="B118" s="593" t="s">
        <v>2323</v>
      </c>
      <c r="C118" s="595">
        <f t="shared" si="18"/>
        <v>7317361.4299999997</v>
      </c>
      <c r="D118" s="595">
        <f t="shared" si="18"/>
        <v>4047089.31</v>
      </c>
      <c r="E118" s="595">
        <f t="shared" si="18"/>
        <v>3270272.12</v>
      </c>
      <c r="F118" s="897">
        <f>'27-Allocators'!$D$48</f>
        <v>0</v>
      </c>
      <c r="G118" s="890">
        <f>SUM(H118:I118)</f>
        <v>0</v>
      </c>
      <c r="H118" s="890">
        <f t="shared" si="19"/>
        <v>0</v>
      </c>
      <c r="I118" s="890">
        <f t="shared" si="20"/>
        <v>0</v>
      </c>
      <c r="J118" s="614" t="s">
        <v>2341</v>
      </c>
      <c r="K118" s="487"/>
    </row>
    <row r="119" spans="1:11" ht="12.75" customHeight="1">
      <c r="A119" s="109">
        <f t="shared" si="21"/>
        <v>86</v>
      </c>
      <c r="B119" s="898" t="s">
        <v>1295</v>
      </c>
      <c r="C119" s="899">
        <f t="shared" ref="C119:E120" si="22">J56</f>
        <v>915979200.25999904</v>
      </c>
      <c r="D119" s="595">
        <f t="shared" si="22"/>
        <v>255760063.96000004</v>
      </c>
      <c r="E119" s="595">
        <f t="shared" si="22"/>
        <v>660219136.299999</v>
      </c>
      <c r="F119" s="963">
        <v>0</v>
      </c>
      <c r="G119" s="448">
        <v>0</v>
      </c>
      <c r="H119" s="890">
        <f t="shared" si="19"/>
        <v>0</v>
      </c>
      <c r="I119" s="890">
        <f t="shared" si="20"/>
        <v>0</v>
      </c>
      <c r="J119" s="959" t="s">
        <v>2423</v>
      </c>
      <c r="K119" s="487"/>
    </row>
    <row r="120" spans="1:11" ht="12.75" customHeight="1">
      <c r="A120" s="109">
        <f t="shared" si="21"/>
        <v>87</v>
      </c>
      <c r="B120" s="593" t="s">
        <v>2006</v>
      </c>
      <c r="C120" s="884">
        <f t="shared" si="22"/>
        <v>17187989.800097771</v>
      </c>
      <c r="D120" s="884">
        <f t="shared" si="22"/>
        <v>17187989.800097771</v>
      </c>
      <c r="E120" s="884">
        <f t="shared" si="22"/>
        <v>0</v>
      </c>
      <c r="F120" s="964">
        <v>0</v>
      </c>
      <c r="G120" s="895">
        <f>SUM(H120:I120)</f>
        <v>0</v>
      </c>
      <c r="H120" s="895">
        <f t="shared" si="19"/>
        <v>0</v>
      </c>
      <c r="I120" s="895">
        <f t="shared" si="20"/>
        <v>0</v>
      </c>
      <c r="J120" s="959" t="s">
        <v>2423</v>
      </c>
      <c r="K120" s="487"/>
    </row>
    <row r="121" spans="1:11" ht="13">
      <c r="A121" s="109">
        <f t="shared" si="21"/>
        <v>88</v>
      </c>
      <c r="B121" s="437" t="s">
        <v>1306</v>
      </c>
      <c r="C121" s="595">
        <f>SUM(C115:C120)</f>
        <v>977094904.26009691</v>
      </c>
      <c r="D121" s="595">
        <f>SUM(D115:D120)</f>
        <v>305156584.99009782</v>
      </c>
      <c r="E121" s="595">
        <f>SUM(E115:E120)</f>
        <v>671938319.26999903</v>
      </c>
      <c r="F121" s="446"/>
      <c r="G121" s="879">
        <f>SUM(G115:G120)</f>
        <v>0</v>
      </c>
      <c r="H121" s="879">
        <f>SUM(H115:H120)</f>
        <v>0</v>
      </c>
      <c r="I121" s="879">
        <f>SUM(I115:I120)</f>
        <v>0</v>
      </c>
      <c r="J121" s="487"/>
      <c r="K121" s="487"/>
    </row>
    <row r="122" spans="1:11" ht="13">
      <c r="A122" s="109">
        <f t="shared" si="21"/>
        <v>89</v>
      </c>
      <c r="B122" s="437"/>
      <c r="C122" s="595"/>
      <c r="D122" s="595"/>
      <c r="E122" s="595"/>
      <c r="F122" s="446"/>
      <c r="G122" s="879"/>
      <c r="H122" s="876"/>
      <c r="I122" s="449"/>
      <c r="J122" s="487"/>
      <c r="K122" s="487"/>
    </row>
    <row r="123" spans="1:11" ht="13">
      <c r="A123" s="109">
        <f t="shared" si="21"/>
        <v>90</v>
      </c>
      <c r="B123" s="875"/>
      <c r="C123" s="881"/>
      <c r="D123" s="881"/>
      <c r="E123" s="881"/>
      <c r="F123" s="896"/>
      <c r="G123" s="890"/>
      <c r="H123" s="890"/>
      <c r="I123" s="890"/>
    </row>
    <row r="124" spans="1:11" ht="13">
      <c r="A124" s="109">
        <f t="shared" si="21"/>
        <v>91</v>
      </c>
      <c r="B124" s="437" t="s">
        <v>1668</v>
      </c>
      <c r="C124" s="881">
        <f>+C106+C121</f>
        <v>1231209910.5741227</v>
      </c>
      <c r="D124" s="881">
        <f>+D106+D121</f>
        <v>403490238.17412359</v>
      </c>
      <c r="E124" s="881">
        <f>+E106+E121</f>
        <v>827719672.39999902</v>
      </c>
      <c r="F124" s="434"/>
      <c r="G124" s="890">
        <f>SUM(H124:I124)</f>
        <v>112781173.69267865</v>
      </c>
      <c r="H124" s="881">
        <f>+H106+H121</f>
        <v>41629507.670540735</v>
      </c>
      <c r="I124" s="881">
        <f>+I106+I121</f>
        <v>71151666.02213791</v>
      </c>
    </row>
    <row r="125" spans="1:11" ht="13">
      <c r="A125" s="109">
        <f t="shared" si="21"/>
        <v>92</v>
      </c>
      <c r="B125" s="489" t="str">
        <f>"Line "&amp;A106&amp;" +  Line "&amp;A121&amp;""</f>
        <v>Line 80 +  Line 88</v>
      </c>
    </row>
    <row r="126" spans="1:11">
      <c r="A126" s="487"/>
    </row>
    <row r="127" spans="1:11" ht="13">
      <c r="A127" s="487"/>
      <c r="B127" s="450" t="s">
        <v>230</v>
      </c>
    </row>
    <row r="128" spans="1:11">
      <c r="A128" s="487"/>
      <c r="B128" s="901" t="s">
        <v>1307</v>
      </c>
      <c r="G128" s="902"/>
      <c r="H128" s="903"/>
      <c r="I128" s="903"/>
      <c r="J128" s="487"/>
      <c r="K128" s="487"/>
    </row>
    <row r="129" spans="1:12">
      <c r="A129" s="487"/>
      <c r="B129" s="904" t="s">
        <v>1308</v>
      </c>
      <c r="G129" s="902"/>
      <c r="H129" s="903"/>
      <c r="I129" s="903"/>
      <c r="J129" s="487"/>
      <c r="K129" s="487"/>
    </row>
    <row r="130" spans="1:12">
      <c r="A130" s="487"/>
      <c r="B130" s="905" t="s">
        <v>1309</v>
      </c>
      <c r="G130" s="902"/>
      <c r="H130" s="903"/>
      <c r="I130" s="903"/>
      <c r="J130" s="487"/>
      <c r="K130" s="487"/>
    </row>
    <row r="131" spans="1:12">
      <c r="A131" s="487"/>
      <c r="B131" s="597" t="s">
        <v>1310</v>
      </c>
      <c r="G131" s="902"/>
      <c r="H131" s="903"/>
      <c r="I131" s="903"/>
      <c r="J131" s="487"/>
      <c r="K131" s="487"/>
    </row>
    <row r="132" spans="1:12">
      <c r="A132" s="487"/>
      <c r="B132" s="597" t="s">
        <v>1311</v>
      </c>
      <c r="G132" s="902"/>
      <c r="H132" s="903"/>
      <c r="I132" s="903"/>
      <c r="J132" s="487"/>
      <c r="K132" s="487"/>
    </row>
    <row r="133" spans="1:12">
      <c r="A133" s="487"/>
      <c r="B133" s="597" t="s">
        <v>1312</v>
      </c>
      <c r="G133" s="902"/>
      <c r="H133" s="903"/>
      <c r="I133" s="903"/>
      <c r="J133" s="487"/>
      <c r="K133" s="487"/>
    </row>
    <row r="134" spans="1:12">
      <c r="A134" s="487"/>
      <c r="B134" s="960" t="s">
        <v>2181</v>
      </c>
      <c r="G134" s="902"/>
      <c r="H134" s="903"/>
      <c r="I134" s="903"/>
      <c r="J134" s="487"/>
      <c r="K134" s="487"/>
    </row>
    <row r="135" spans="1:12">
      <c r="A135" s="487"/>
      <c r="B135" s="597" t="s">
        <v>2276</v>
      </c>
      <c r="G135" s="902"/>
      <c r="H135" s="903"/>
      <c r="I135" s="903"/>
      <c r="J135" s="487"/>
      <c r="K135" s="487"/>
    </row>
    <row r="136" spans="1:12">
      <c r="A136" s="487"/>
      <c r="B136" s="597" t="s">
        <v>2277</v>
      </c>
      <c r="G136" s="902"/>
      <c r="H136" s="903"/>
      <c r="I136" s="903"/>
      <c r="J136" s="487"/>
      <c r="K136" s="487"/>
    </row>
    <row r="137" spans="1:12">
      <c r="A137" s="487"/>
      <c r="B137" s="1295" t="s">
        <v>2835</v>
      </c>
      <c r="C137" s="1046"/>
      <c r="D137" s="1281"/>
      <c r="E137" s="1093"/>
      <c r="F137" s="865"/>
      <c r="G137" s="906"/>
      <c r="H137" s="907"/>
      <c r="I137" s="907"/>
      <c r="J137" s="864"/>
      <c r="K137" s="487"/>
      <c r="L137" s="487"/>
    </row>
    <row r="138" spans="1:12">
      <c r="A138" s="487"/>
      <c r="B138" s="1295"/>
      <c r="C138" s="1046"/>
      <c r="D138" s="1281"/>
      <c r="E138" s="1093"/>
      <c r="F138" s="865"/>
      <c r="G138" s="906"/>
      <c r="H138" s="907"/>
      <c r="I138" s="907"/>
      <c r="J138" s="864"/>
      <c r="K138" s="487"/>
      <c r="L138" s="487"/>
    </row>
    <row r="139" spans="1:12">
      <c r="A139" s="487"/>
      <c r="B139" s="487" t="s">
        <v>2013</v>
      </c>
      <c r="G139" s="902"/>
      <c r="H139" s="903"/>
      <c r="I139" s="903"/>
      <c r="J139" s="487"/>
      <c r="K139" s="487"/>
    </row>
    <row r="140" spans="1:12">
      <c r="A140" s="487"/>
      <c r="B140" s="487" t="s">
        <v>2007</v>
      </c>
      <c r="G140" s="902"/>
      <c r="H140" s="903"/>
      <c r="I140" s="903"/>
      <c r="J140" s="487"/>
      <c r="K140" s="487"/>
    </row>
    <row r="141" spans="1:12">
      <c r="A141" s="487"/>
      <c r="G141" s="902"/>
      <c r="H141" s="903"/>
      <c r="I141" s="903"/>
      <c r="J141" s="487"/>
      <c r="K141" s="487"/>
    </row>
    <row r="142" spans="1:12">
      <c r="A142" s="487"/>
      <c r="B142" s="961" t="s">
        <v>2008</v>
      </c>
      <c r="C142" s="864">
        <v>47</v>
      </c>
      <c r="G142" s="902"/>
      <c r="H142" s="903"/>
      <c r="I142" s="903"/>
      <c r="J142" s="487"/>
      <c r="K142" s="487"/>
    </row>
    <row r="143" spans="1:12">
      <c r="A143" s="487"/>
      <c r="G143" s="902"/>
      <c r="H143" s="903"/>
      <c r="I143" s="903"/>
      <c r="J143" s="487"/>
      <c r="K143" s="487"/>
    </row>
    <row r="144" spans="1:12" ht="13">
      <c r="A144" s="487"/>
      <c r="B144" s="908"/>
      <c r="C144" s="468" t="s">
        <v>1433</v>
      </c>
      <c r="D144" s="468" t="s">
        <v>154</v>
      </c>
      <c r="G144" s="902"/>
      <c r="H144" s="903"/>
      <c r="I144" s="903"/>
      <c r="J144" s="487"/>
      <c r="K144" s="487"/>
    </row>
    <row r="145" spans="1:11">
      <c r="A145" s="487"/>
      <c r="B145" s="908" t="s">
        <v>2009</v>
      </c>
      <c r="C145" s="909">
        <f>D43/D60</f>
        <v>0.24317516099399725</v>
      </c>
      <c r="D145" s="908" t="str">
        <f>"Line "&amp;A43&amp;", Col 3 / Line "&amp;A60&amp;", Col 3"</f>
        <v>Line 33, Col 3 / Line 43, Col 3</v>
      </c>
      <c r="G145" s="902"/>
      <c r="H145" s="903"/>
      <c r="I145" s="903"/>
      <c r="J145" s="487"/>
      <c r="K145" s="487"/>
    </row>
    <row r="146" spans="1:11">
      <c r="A146" s="487"/>
      <c r="B146" s="908" t="s">
        <v>2010</v>
      </c>
      <c r="C146" s="909">
        <f>D58/D60</f>
        <v>0.75682483900600273</v>
      </c>
      <c r="D146" s="908" t="str">
        <f>"Line "&amp;A58&amp;", Col 3 / Line "&amp;A60&amp;", Col 3"</f>
        <v>Line 41, Col 3 / Line 43, Col 3</v>
      </c>
      <c r="G146" s="902"/>
      <c r="H146" s="903"/>
      <c r="I146" s="903"/>
      <c r="J146" s="487"/>
      <c r="K146" s="487"/>
    </row>
    <row r="147" spans="1:11">
      <c r="A147" s="487"/>
      <c r="G147" s="902"/>
      <c r="H147" s="903"/>
      <c r="I147" s="903"/>
      <c r="J147" s="487"/>
      <c r="K147" s="487"/>
    </row>
    <row r="148" spans="1:11">
      <c r="A148" s="487"/>
      <c r="B148" s="487" t="s">
        <v>2011</v>
      </c>
      <c r="G148" s="902"/>
      <c r="H148" s="903"/>
      <c r="I148" s="903"/>
      <c r="J148" s="487"/>
      <c r="K148" s="487"/>
    </row>
    <row r="149" spans="1:11">
      <c r="A149" s="487"/>
      <c r="B149" s="487" t="s">
        <v>2012</v>
      </c>
      <c r="G149" s="902"/>
      <c r="H149" s="903"/>
      <c r="I149" s="903"/>
      <c r="J149" s="487"/>
      <c r="K149" s="487"/>
    </row>
    <row r="150" spans="1:11">
      <c r="A150" s="487"/>
      <c r="B150" s="487" t="s">
        <v>1731</v>
      </c>
      <c r="C150" s="962">
        <f>(SUM(H74:H103)/SUM(D74:D103))</f>
        <v>0.42334954842604594</v>
      </c>
      <c r="G150" s="902"/>
      <c r="H150" s="903"/>
      <c r="I150" s="903"/>
      <c r="J150" s="487"/>
      <c r="K150" s="487"/>
    </row>
    <row r="151" spans="1:11">
      <c r="A151" s="487"/>
      <c r="B151" s="487" t="s">
        <v>1667</v>
      </c>
      <c r="G151" s="902"/>
      <c r="H151" s="903"/>
      <c r="I151" s="903"/>
      <c r="J151" s="487"/>
      <c r="K151" s="487"/>
    </row>
    <row r="152" spans="1:11">
      <c r="A152" s="487"/>
      <c r="B152" s="487" t="s">
        <v>2424</v>
      </c>
      <c r="G152" s="902"/>
      <c r="H152" s="903"/>
      <c r="I152" s="903"/>
      <c r="J152" s="487"/>
      <c r="K152" s="487"/>
    </row>
    <row r="153" spans="1:11">
      <c r="A153" s="487"/>
      <c r="B153" s="487" t="s">
        <v>1815</v>
      </c>
      <c r="G153" s="902"/>
      <c r="H153" s="903"/>
      <c r="I153" s="903"/>
      <c r="J153" s="487"/>
      <c r="K153" s="487"/>
    </row>
    <row r="154" spans="1:11">
      <c r="A154" s="487"/>
      <c r="B154" s="487"/>
      <c r="G154" s="902"/>
      <c r="H154" s="903"/>
      <c r="I154" s="903"/>
      <c r="J154" s="487"/>
      <c r="K154" s="487"/>
    </row>
    <row r="155" spans="1:11">
      <c r="A155" s="487"/>
    </row>
    <row r="156" spans="1:11">
      <c r="A156" s="487"/>
    </row>
  </sheetData>
  <mergeCells count="14">
    <mergeCell ref="G112:I112"/>
    <mergeCell ref="G71:I71"/>
    <mergeCell ref="B8:B9"/>
    <mergeCell ref="C8:E8"/>
    <mergeCell ref="G8:I8"/>
    <mergeCell ref="B71:B72"/>
    <mergeCell ref="C71:E71"/>
    <mergeCell ref="B112:B113"/>
    <mergeCell ref="C112:E112"/>
    <mergeCell ref="J8:L8"/>
    <mergeCell ref="B49:B50"/>
    <mergeCell ref="C49:E49"/>
    <mergeCell ref="G49:I49"/>
    <mergeCell ref="J49:L49"/>
  </mergeCells>
  <pageMargins left="0.7" right="0.7" top="0.75" bottom="0.75" header="0.3" footer="0.3"/>
  <pageSetup scale="60" orientation="landscape" cellComments="asDisplayed" r:id="rId1"/>
  <headerFooter>
    <oddHeader>&amp;CSchedule 19
Operations and Maintenance
&amp;RTO2021 Annual Update
Attachment 5
TO2018 True Up TRR</oddHeader>
    <oddFooter>&amp;R&amp;A</oddFooter>
  </headerFooter>
  <rowBreaks count="3" manualBreakCount="3">
    <brk id="45" max="11" man="1"/>
    <brk id="65" max="16383" man="1"/>
    <brk id="10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5"/>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 bestFit="1" customWidth="1"/>
  </cols>
  <sheetData>
    <row r="1" spans="1:24" ht="13">
      <c r="A1" s="1" t="s">
        <v>280</v>
      </c>
      <c r="F1" s="43" t="s">
        <v>17</v>
      </c>
      <c r="G1" s="95"/>
      <c r="H1" s="61"/>
      <c r="I1" s="61"/>
    </row>
    <row r="2" spans="1:24" ht="13">
      <c r="E2" s="84" t="s">
        <v>359</v>
      </c>
      <c r="F2" s="84" t="s">
        <v>343</v>
      </c>
      <c r="G2" s="84" t="s">
        <v>344</v>
      </c>
      <c r="H2" s="84" t="s">
        <v>345</v>
      </c>
      <c r="I2" s="61"/>
    </row>
    <row r="3" spans="1:24">
      <c r="D3" s="1048"/>
      <c r="G3" s="61" t="s">
        <v>212</v>
      </c>
    </row>
    <row r="4" spans="1:24" ht="13">
      <c r="E4" s="2" t="s">
        <v>477</v>
      </c>
      <c r="F4" s="26" t="s">
        <v>194</v>
      </c>
      <c r="G4" s="2" t="s">
        <v>1372</v>
      </c>
      <c r="I4" s="2"/>
    </row>
    <row r="5" spans="1:24" ht="13">
      <c r="A5" s="53" t="s">
        <v>320</v>
      </c>
      <c r="B5" s="3"/>
      <c r="C5" s="3" t="s">
        <v>115</v>
      </c>
      <c r="D5" s="3" t="s">
        <v>100</v>
      </c>
      <c r="E5" s="3" t="s">
        <v>175</v>
      </c>
      <c r="F5" s="25" t="s">
        <v>179</v>
      </c>
      <c r="G5" s="3" t="s">
        <v>116</v>
      </c>
      <c r="H5" s="3" t="s">
        <v>264</v>
      </c>
      <c r="I5" s="3" t="s">
        <v>168</v>
      </c>
      <c r="K5" s="3"/>
      <c r="L5" s="3"/>
      <c r="M5" s="3"/>
      <c r="N5" s="3"/>
      <c r="O5" s="3"/>
      <c r="P5" s="3"/>
      <c r="Q5" s="3"/>
      <c r="R5" s="3"/>
      <c r="S5" s="3"/>
      <c r="T5" s="3"/>
      <c r="U5" s="3"/>
      <c r="V5" s="3"/>
      <c r="W5" s="3"/>
      <c r="X5" s="3"/>
    </row>
    <row r="6" spans="1:24" ht="13">
      <c r="A6" s="2">
        <v>1</v>
      </c>
      <c r="C6" s="61">
        <v>920</v>
      </c>
      <c r="D6" t="s">
        <v>102</v>
      </c>
      <c r="E6" s="80">
        <v>413850310</v>
      </c>
      <c r="F6" s="61" t="s">
        <v>117</v>
      </c>
      <c r="G6" s="63">
        <f>D37</f>
        <v>213480967.18284771</v>
      </c>
      <c r="H6" s="63">
        <f t="shared" ref="H6:H19" si="0">E6-G6</f>
        <v>200369342.81715229</v>
      </c>
      <c r="I6" s="14"/>
      <c r="J6" s="476"/>
    </row>
    <row r="7" spans="1:24" ht="13">
      <c r="A7" s="2">
        <f>A6+1</f>
        <v>2</v>
      </c>
      <c r="C7" s="61">
        <v>921</v>
      </c>
      <c r="D7" t="s">
        <v>103</v>
      </c>
      <c r="E7" s="80">
        <v>250234425</v>
      </c>
      <c r="F7" s="61" t="s">
        <v>118</v>
      </c>
      <c r="G7" s="63">
        <f t="shared" ref="G7:G19" si="1">D38</f>
        <v>2351967.084740696</v>
      </c>
      <c r="H7" s="63">
        <f t="shared" si="0"/>
        <v>247882457.9152593</v>
      </c>
      <c r="I7" s="14"/>
      <c r="J7" s="476"/>
    </row>
    <row r="8" spans="1:24" ht="13">
      <c r="A8" s="2">
        <f>A7+1</f>
        <v>3</v>
      </c>
      <c r="C8" s="61">
        <v>922</v>
      </c>
      <c r="D8" t="s">
        <v>104</v>
      </c>
      <c r="E8" s="80">
        <v>-225318190</v>
      </c>
      <c r="F8" s="61" t="s">
        <v>119</v>
      </c>
      <c r="G8" s="63">
        <f t="shared" si="1"/>
        <v>-77722052.712449998</v>
      </c>
      <c r="H8" s="63">
        <f>E8-G8</f>
        <v>-147596137.28755</v>
      </c>
      <c r="I8" s="112" t="s">
        <v>1756</v>
      </c>
      <c r="J8" s="476"/>
    </row>
    <row r="9" spans="1:24" ht="13">
      <c r="A9" s="2">
        <f t="shared" ref="A9:A20" si="2">A8+1</f>
        <v>4</v>
      </c>
      <c r="B9" s="2"/>
      <c r="C9" s="61">
        <v>923</v>
      </c>
      <c r="D9" t="s">
        <v>105</v>
      </c>
      <c r="E9" s="80">
        <v>59887693</v>
      </c>
      <c r="F9" s="61" t="s">
        <v>120</v>
      </c>
      <c r="G9" s="63">
        <f t="shared" si="1"/>
        <v>8247856.2878677836</v>
      </c>
      <c r="H9" s="63">
        <f t="shared" si="0"/>
        <v>51639836.712132215</v>
      </c>
      <c r="I9" s="14"/>
      <c r="J9" s="476"/>
    </row>
    <row r="10" spans="1:24" ht="13">
      <c r="A10" s="2">
        <f t="shared" si="2"/>
        <v>5</v>
      </c>
      <c r="B10" s="2"/>
      <c r="C10" s="61">
        <v>924</v>
      </c>
      <c r="D10" t="s">
        <v>106</v>
      </c>
      <c r="E10" s="80">
        <v>15607270</v>
      </c>
      <c r="F10" s="61" t="s">
        <v>121</v>
      </c>
      <c r="G10" s="63">
        <f t="shared" si="1"/>
        <v>0</v>
      </c>
      <c r="H10" s="63">
        <f t="shared" si="0"/>
        <v>15607270</v>
      </c>
      <c r="I10" s="14"/>
      <c r="J10" s="476"/>
    </row>
    <row r="11" spans="1:24" ht="13">
      <c r="A11" s="2">
        <f t="shared" si="2"/>
        <v>6</v>
      </c>
      <c r="B11" s="2"/>
      <c r="C11" s="61">
        <v>925</v>
      </c>
      <c r="D11" t="s">
        <v>107</v>
      </c>
      <c r="E11" s="80">
        <v>902073996</v>
      </c>
      <c r="F11" s="61" t="s">
        <v>122</v>
      </c>
      <c r="G11" s="63">
        <f t="shared" si="1"/>
        <v>152267277.52000001</v>
      </c>
      <c r="H11" s="63">
        <f t="shared" si="0"/>
        <v>749806718.48000002</v>
      </c>
      <c r="I11" s="14"/>
      <c r="J11" s="476"/>
    </row>
    <row r="12" spans="1:24" ht="13">
      <c r="A12" s="2">
        <f t="shared" si="2"/>
        <v>7</v>
      </c>
      <c r="B12" s="2"/>
      <c r="C12" s="61">
        <v>926</v>
      </c>
      <c r="D12" t="s">
        <v>108</v>
      </c>
      <c r="E12" s="80">
        <v>82906034</v>
      </c>
      <c r="F12" s="61" t="s">
        <v>123</v>
      </c>
      <c r="G12" s="63">
        <f t="shared" si="1"/>
        <v>3580760.4670550358</v>
      </c>
      <c r="H12" s="63">
        <f t="shared" si="0"/>
        <v>79325273.532944962</v>
      </c>
      <c r="I12" s="14"/>
      <c r="J12" s="476"/>
    </row>
    <row r="13" spans="1:24" ht="13">
      <c r="A13" s="2">
        <f t="shared" si="2"/>
        <v>8</v>
      </c>
      <c r="B13" s="2"/>
      <c r="C13" s="61">
        <v>927</v>
      </c>
      <c r="D13" t="s">
        <v>109</v>
      </c>
      <c r="E13" s="80">
        <v>104335318</v>
      </c>
      <c r="F13" s="61" t="s">
        <v>124</v>
      </c>
      <c r="G13" s="63">
        <f t="shared" si="1"/>
        <v>104335318</v>
      </c>
      <c r="H13" s="63">
        <f t="shared" si="0"/>
        <v>0</v>
      </c>
      <c r="I13" s="14"/>
      <c r="J13" s="476"/>
    </row>
    <row r="14" spans="1:24" ht="13">
      <c r="A14" s="2">
        <f t="shared" si="2"/>
        <v>9</v>
      </c>
      <c r="B14" s="2"/>
      <c r="C14" s="61">
        <v>928</v>
      </c>
      <c r="D14" s="12" t="s">
        <v>110</v>
      </c>
      <c r="E14" s="80">
        <v>11713250</v>
      </c>
      <c r="F14" s="61" t="s">
        <v>125</v>
      </c>
      <c r="G14" s="63">
        <f t="shared" si="1"/>
        <v>9979027.6099999994</v>
      </c>
      <c r="H14" s="63">
        <f t="shared" si="0"/>
        <v>1734222.3900000006</v>
      </c>
      <c r="I14" s="14"/>
      <c r="J14" s="476"/>
    </row>
    <row r="15" spans="1:24" ht="13">
      <c r="A15" s="2">
        <f t="shared" si="2"/>
        <v>10</v>
      </c>
      <c r="B15" s="2"/>
      <c r="C15" s="61">
        <v>929</v>
      </c>
      <c r="D15" t="s">
        <v>111</v>
      </c>
      <c r="E15" s="80">
        <v>0</v>
      </c>
      <c r="F15" s="61" t="s">
        <v>126</v>
      </c>
      <c r="G15" s="63">
        <f t="shared" si="1"/>
        <v>0</v>
      </c>
      <c r="H15" s="63">
        <f t="shared" si="0"/>
        <v>0</v>
      </c>
      <c r="I15" s="14"/>
      <c r="J15" s="476"/>
    </row>
    <row r="16" spans="1:24" ht="13">
      <c r="A16" s="2">
        <f t="shared" si="2"/>
        <v>11</v>
      </c>
      <c r="B16" s="2"/>
      <c r="C16" s="61">
        <v>930.1</v>
      </c>
      <c r="D16" t="s">
        <v>112</v>
      </c>
      <c r="E16" s="80">
        <v>11245961</v>
      </c>
      <c r="F16" s="61" t="s">
        <v>127</v>
      </c>
      <c r="G16" s="63">
        <f t="shared" si="1"/>
        <v>4498348</v>
      </c>
      <c r="H16" s="63">
        <f t="shared" si="0"/>
        <v>6747613</v>
      </c>
      <c r="I16" s="14"/>
      <c r="J16" s="476"/>
    </row>
    <row r="17" spans="1:11" ht="13">
      <c r="A17" s="2">
        <f t="shared" si="2"/>
        <v>12</v>
      </c>
      <c r="B17" s="2"/>
      <c r="C17" s="61">
        <v>930.2</v>
      </c>
      <c r="D17" t="s">
        <v>88</v>
      </c>
      <c r="E17" s="80">
        <v>14071912</v>
      </c>
      <c r="F17" s="61" t="s">
        <v>128</v>
      </c>
      <c r="G17" s="63">
        <f t="shared" si="1"/>
        <v>5984741</v>
      </c>
      <c r="H17" s="63">
        <f t="shared" si="0"/>
        <v>8087171</v>
      </c>
      <c r="I17" s="14"/>
      <c r="J17" s="476"/>
    </row>
    <row r="18" spans="1:11" ht="13">
      <c r="A18" s="2">
        <f t="shared" si="2"/>
        <v>13</v>
      </c>
      <c r="B18" s="2"/>
      <c r="C18" s="61">
        <v>931</v>
      </c>
      <c r="D18" t="s">
        <v>113</v>
      </c>
      <c r="E18" s="80">
        <v>8581490</v>
      </c>
      <c r="F18" s="61" t="s">
        <v>129</v>
      </c>
      <c r="G18" s="63">
        <f t="shared" si="1"/>
        <v>12016812.699999999</v>
      </c>
      <c r="H18" s="63">
        <f t="shared" si="0"/>
        <v>-3435322.6999999993</v>
      </c>
      <c r="I18" s="14"/>
      <c r="J18" s="476"/>
    </row>
    <row r="19" spans="1:11" ht="13">
      <c r="A19" s="2">
        <f t="shared" si="2"/>
        <v>14</v>
      </c>
      <c r="B19" s="2"/>
      <c r="C19" s="61">
        <v>935</v>
      </c>
      <c r="D19" t="s">
        <v>114</v>
      </c>
      <c r="E19" s="1167">
        <v>26158179</v>
      </c>
      <c r="F19" s="61" t="s">
        <v>130</v>
      </c>
      <c r="G19" s="63">
        <f t="shared" si="1"/>
        <v>811671.73</v>
      </c>
      <c r="H19" s="110">
        <f t="shared" si="0"/>
        <v>25346507.27</v>
      </c>
      <c r="I19" s="14"/>
      <c r="J19" s="476"/>
    </row>
    <row r="20" spans="1:11" ht="13">
      <c r="A20" s="2">
        <f t="shared" si="2"/>
        <v>15</v>
      </c>
      <c r="E20" s="7">
        <f>SUM(E6:E19)</f>
        <v>1675347648</v>
      </c>
      <c r="G20" s="79" t="s">
        <v>131</v>
      </c>
      <c r="H20" s="47">
        <f>SUM(H6:H19)</f>
        <v>1235514953.1299388</v>
      </c>
      <c r="I20" s="14"/>
    </row>
    <row r="22" spans="1:11" ht="13">
      <c r="F22" s="123" t="s">
        <v>175</v>
      </c>
      <c r="G22" s="3" t="s">
        <v>179</v>
      </c>
    </row>
    <row r="23" spans="1:11" ht="13">
      <c r="A23" s="2">
        <f>A20+1</f>
        <v>16</v>
      </c>
      <c r="E23" s="918" t="s">
        <v>1992</v>
      </c>
      <c r="F23" s="63">
        <f>H20</f>
        <v>1235514953.1299388</v>
      </c>
      <c r="G23" s="46" t="str">
        <f>"Line "&amp;A20&amp;""</f>
        <v>Line 15</v>
      </c>
      <c r="H23" s="14"/>
      <c r="I23" s="14"/>
      <c r="J23" s="14"/>
      <c r="K23" s="14"/>
    </row>
    <row r="24" spans="1:11" ht="13">
      <c r="A24" s="2">
        <f t="shared" ref="A24:A30" si="3">A23+1</f>
        <v>17</v>
      </c>
      <c r="E24" s="363" t="s">
        <v>293</v>
      </c>
      <c r="F24" s="110">
        <f>E10</f>
        <v>15607270</v>
      </c>
      <c r="G24" s="46" t="str">
        <f>"Line "&amp;A10&amp;""</f>
        <v>Line 5</v>
      </c>
      <c r="H24" s="14"/>
      <c r="I24" s="14"/>
      <c r="J24" s="14"/>
      <c r="K24" s="14"/>
    </row>
    <row r="25" spans="1:11" ht="13">
      <c r="A25" s="2">
        <f t="shared" si="3"/>
        <v>18</v>
      </c>
      <c r="E25" s="363" t="s">
        <v>1367</v>
      </c>
      <c r="F25" s="63">
        <f>F23-F24</f>
        <v>1219907683.1299388</v>
      </c>
      <c r="G25" s="46" t="str">
        <f>"Line "&amp;A23&amp;" - Line "&amp;A24&amp;""</f>
        <v>Line 16 - Line 17</v>
      </c>
      <c r="H25" s="14"/>
      <c r="I25" s="14"/>
      <c r="J25" s="14"/>
      <c r="K25" s="14"/>
    </row>
    <row r="26" spans="1:11" ht="13">
      <c r="A26" s="2">
        <f t="shared" si="3"/>
        <v>19</v>
      </c>
      <c r="E26" s="79" t="s">
        <v>132</v>
      </c>
      <c r="F26" s="965">
        <f>'27-Allocators'!G10</f>
        <v>6.5693761162178274E-2</v>
      </c>
      <c r="G26" s="475" t="s">
        <v>2629</v>
      </c>
      <c r="H26" s="14"/>
      <c r="I26" s="14"/>
      <c r="J26" s="14"/>
      <c r="K26" s="14"/>
    </row>
    <row r="27" spans="1:11" ht="13">
      <c r="A27" s="2">
        <f t="shared" si="3"/>
        <v>20</v>
      </c>
      <c r="E27" s="363" t="s">
        <v>1368</v>
      </c>
      <c r="F27" s="63">
        <f>F25*F26</f>
        <v>80140323.975444451</v>
      </c>
      <c r="G27" s="46" t="str">
        <f>"Line "&amp;A25&amp;" * Line "&amp;A26&amp;""</f>
        <v>Line 18 * Line 19</v>
      </c>
      <c r="H27" s="14"/>
      <c r="I27" s="14"/>
      <c r="J27" s="14"/>
      <c r="K27" s="14"/>
    </row>
    <row r="28" spans="1:11" ht="13">
      <c r="A28" s="2">
        <f t="shared" si="3"/>
        <v>21</v>
      </c>
      <c r="E28" s="363" t="s">
        <v>94</v>
      </c>
      <c r="F28" s="67">
        <f>'27-Allocators'!G23</f>
        <v>0.18668153702052509</v>
      </c>
      <c r="G28" s="475" t="s">
        <v>2630</v>
      </c>
      <c r="H28" s="14"/>
      <c r="I28" s="14"/>
      <c r="J28" s="14"/>
      <c r="K28" s="14"/>
    </row>
    <row r="29" spans="1:11" ht="13">
      <c r="A29" s="2">
        <f t="shared" si="3"/>
        <v>22</v>
      </c>
      <c r="E29" s="363" t="s">
        <v>294</v>
      </c>
      <c r="F29" s="110">
        <f>H10*F28</f>
        <v>2913589.1522943308</v>
      </c>
      <c r="G29" s="46" t="str">
        <f>"Line "&amp;A10&amp;" Col 4 * Line "&amp;A28&amp;""</f>
        <v>Line 5 Col 4 * Line 21</v>
      </c>
      <c r="H29" s="14"/>
      <c r="I29" s="14"/>
      <c r="J29" s="14"/>
      <c r="K29" s="14"/>
    </row>
    <row r="30" spans="1:11" ht="13">
      <c r="A30" s="2">
        <f t="shared" si="3"/>
        <v>23</v>
      </c>
      <c r="E30" s="363" t="s">
        <v>295</v>
      </c>
      <c r="F30" s="490">
        <f>F27+F29</f>
        <v>83053913.127738789</v>
      </c>
      <c r="G30" s="46" t="str">
        <f>"Line "&amp;A27&amp;" + Line "&amp;A29&amp;""</f>
        <v>Line 20 + Line 22</v>
      </c>
      <c r="H30" s="14"/>
      <c r="I30" s="14"/>
      <c r="J30" s="14"/>
      <c r="K30" s="14"/>
    </row>
    <row r="31" spans="1:11">
      <c r="E31" s="14"/>
      <c r="F31" s="14"/>
      <c r="G31" s="14"/>
      <c r="H31" s="14"/>
      <c r="I31" s="14"/>
      <c r="J31" s="14"/>
      <c r="K31" s="14"/>
    </row>
    <row r="32" spans="1:11" ht="13">
      <c r="B32" s="1" t="s">
        <v>484</v>
      </c>
      <c r="E32" s="358" t="s">
        <v>359</v>
      </c>
      <c r="F32" s="358" t="s">
        <v>343</v>
      </c>
      <c r="G32" s="358" t="s">
        <v>344</v>
      </c>
      <c r="H32" s="358" t="s">
        <v>345</v>
      </c>
      <c r="I32" s="14"/>
      <c r="J32" s="14"/>
      <c r="K32" s="14"/>
    </row>
    <row r="33" spans="1:11" ht="13">
      <c r="B33" s="1"/>
      <c r="E33" s="109" t="s">
        <v>479</v>
      </c>
      <c r="F33" s="358"/>
      <c r="G33" s="358"/>
      <c r="H33" s="358"/>
      <c r="I33" s="14"/>
      <c r="J33" s="14"/>
      <c r="K33" s="14"/>
    </row>
    <row r="34" spans="1:11" ht="13">
      <c r="E34" s="109" t="s">
        <v>545</v>
      </c>
      <c r="F34" s="14"/>
      <c r="G34" s="14"/>
      <c r="H34" s="14"/>
      <c r="I34" s="14"/>
      <c r="J34" s="14"/>
      <c r="K34" s="14"/>
    </row>
    <row r="35" spans="1:11" ht="13">
      <c r="D35" s="2" t="s">
        <v>478</v>
      </c>
      <c r="E35" s="109" t="s">
        <v>544</v>
      </c>
      <c r="F35" s="109" t="s">
        <v>480</v>
      </c>
      <c r="G35" s="109"/>
      <c r="H35" s="109"/>
      <c r="I35" s="14"/>
      <c r="J35" s="14"/>
      <c r="K35" s="14"/>
    </row>
    <row r="36" spans="1:11" ht="13">
      <c r="C36" s="3" t="s">
        <v>115</v>
      </c>
      <c r="D36" s="358" t="s">
        <v>1102</v>
      </c>
      <c r="E36" s="123" t="s">
        <v>1269</v>
      </c>
      <c r="F36" s="123" t="s">
        <v>481</v>
      </c>
      <c r="G36" s="123" t="s">
        <v>1993</v>
      </c>
      <c r="H36" s="123" t="s">
        <v>482</v>
      </c>
      <c r="I36" s="123" t="s">
        <v>168</v>
      </c>
      <c r="J36" s="14"/>
      <c r="K36" s="14"/>
    </row>
    <row r="37" spans="1:11" ht="13">
      <c r="A37" s="2">
        <f>A30+1</f>
        <v>24</v>
      </c>
      <c r="C37" s="61">
        <v>920</v>
      </c>
      <c r="D37" s="1346">
        <f>SUM(E37:H37)</f>
        <v>213480967.18284771</v>
      </c>
      <c r="E37" s="1076">
        <v>79510926.055259317</v>
      </c>
      <c r="F37" s="105"/>
      <c r="G37" s="63">
        <f>G59</f>
        <v>133970041.12758839</v>
      </c>
      <c r="H37" s="105"/>
      <c r="I37" s="475" t="s">
        <v>1767</v>
      </c>
      <c r="J37" s="14"/>
    </row>
    <row r="38" spans="1:11" ht="13">
      <c r="A38" s="2">
        <f>A37+1</f>
        <v>25</v>
      </c>
      <c r="C38" s="61">
        <v>921</v>
      </c>
      <c r="D38" s="1346">
        <f t="shared" ref="D38:D50" si="4">SUM(E38:H38)</f>
        <v>2351967.084740696</v>
      </c>
      <c r="E38" s="1076">
        <v>2351967.084740696</v>
      </c>
      <c r="F38" s="105"/>
      <c r="G38" s="1072">
        <v>0</v>
      </c>
      <c r="H38" s="105"/>
      <c r="I38" s="16"/>
    </row>
    <row r="39" spans="1:11" ht="13">
      <c r="A39" s="2">
        <f t="shared" ref="A39:A50" si="5">A38+1</f>
        <v>26</v>
      </c>
      <c r="C39" s="61">
        <v>922</v>
      </c>
      <c r="D39" s="1346">
        <f t="shared" si="4"/>
        <v>-77722052.712449998</v>
      </c>
      <c r="E39" s="1076">
        <v>-10359095.712450001</v>
      </c>
      <c r="F39" s="105"/>
      <c r="G39" s="1047">
        <v>-67362957</v>
      </c>
      <c r="H39" s="105"/>
      <c r="I39" s="16"/>
    </row>
    <row r="40" spans="1:11" ht="13">
      <c r="A40" s="2">
        <f t="shared" si="5"/>
        <v>27</v>
      </c>
      <c r="C40" s="61">
        <v>923</v>
      </c>
      <c r="D40" s="1346">
        <f t="shared" si="4"/>
        <v>8247856.2878677836</v>
      </c>
      <c r="E40" s="1076">
        <v>8247856.2878677836</v>
      </c>
      <c r="F40" s="105"/>
      <c r="G40" s="1072">
        <v>0</v>
      </c>
      <c r="H40" s="105"/>
      <c r="I40" s="16"/>
      <c r="J40" s="3"/>
      <c r="K40" s="3"/>
    </row>
    <row r="41" spans="1:11" ht="13">
      <c r="A41" s="2">
        <f t="shared" si="5"/>
        <v>28</v>
      </c>
      <c r="C41" s="61">
        <v>924</v>
      </c>
      <c r="D41" s="140">
        <f t="shared" si="4"/>
        <v>0</v>
      </c>
      <c r="E41" s="509">
        <v>0</v>
      </c>
      <c r="F41" s="105"/>
      <c r="G41" s="1072">
        <v>0</v>
      </c>
      <c r="H41" s="105"/>
      <c r="I41" s="16"/>
      <c r="K41" s="7"/>
    </row>
    <row r="42" spans="1:11" ht="13">
      <c r="A42" s="2">
        <f t="shared" si="5"/>
        <v>29</v>
      </c>
      <c r="C42" s="61">
        <v>925</v>
      </c>
      <c r="D42" s="140">
        <f t="shared" si="4"/>
        <v>152267277.52000001</v>
      </c>
      <c r="E42" s="509">
        <v>152267277.52000001</v>
      </c>
      <c r="F42" s="105"/>
      <c r="G42" s="1072">
        <v>0</v>
      </c>
      <c r="H42" s="105"/>
      <c r="I42" s="13"/>
      <c r="K42" s="7"/>
    </row>
    <row r="43" spans="1:11" ht="13">
      <c r="A43" s="2">
        <f t="shared" si="5"/>
        <v>30</v>
      </c>
      <c r="C43" s="61">
        <v>926</v>
      </c>
      <c r="D43" s="140">
        <f t="shared" si="4"/>
        <v>3580760.4670550358</v>
      </c>
      <c r="E43" s="509">
        <v>15470760.467055036</v>
      </c>
      <c r="F43" s="105"/>
      <c r="G43" s="1072">
        <v>0</v>
      </c>
      <c r="H43" s="63">
        <f>E72</f>
        <v>-11890000</v>
      </c>
      <c r="I43" s="13" t="s">
        <v>282</v>
      </c>
      <c r="K43" s="7"/>
    </row>
    <row r="44" spans="1:11" ht="13">
      <c r="A44" s="2">
        <f t="shared" si="5"/>
        <v>31</v>
      </c>
      <c r="C44" s="61">
        <v>927</v>
      </c>
      <c r="D44" s="140">
        <f t="shared" si="4"/>
        <v>104335318</v>
      </c>
      <c r="E44" s="63">
        <v>0</v>
      </c>
      <c r="F44" s="471">
        <f>E13</f>
        <v>104335318</v>
      </c>
      <c r="G44" s="63">
        <v>0</v>
      </c>
      <c r="H44" s="63">
        <v>0</v>
      </c>
      <c r="I44" s="16" t="s">
        <v>956</v>
      </c>
      <c r="K44" s="7"/>
    </row>
    <row r="45" spans="1:11" ht="13">
      <c r="A45" s="2">
        <f t="shared" si="5"/>
        <v>32</v>
      </c>
      <c r="C45" s="61">
        <v>928</v>
      </c>
      <c r="D45" s="140">
        <f t="shared" si="4"/>
        <v>9979027.6099999994</v>
      </c>
      <c r="E45" s="1076">
        <v>9979027.6099999994</v>
      </c>
      <c r="F45" s="1072"/>
      <c r="G45" s="1072">
        <v>0</v>
      </c>
      <c r="H45" s="1072"/>
      <c r="I45" s="16"/>
      <c r="K45" s="7"/>
    </row>
    <row r="46" spans="1:11" ht="13">
      <c r="A46" s="2">
        <f t="shared" si="5"/>
        <v>33</v>
      </c>
      <c r="C46" s="61">
        <v>929</v>
      </c>
      <c r="D46" s="140">
        <f t="shared" si="4"/>
        <v>0</v>
      </c>
      <c r="E46" s="509">
        <v>0</v>
      </c>
      <c r="F46" s="1072"/>
      <c r="G46" s="1072">
        <v>0</v>
      </c>
      <c r="H46" s="1072"/>
      <c r="I46" s="16"/>
      <c r="K46" s="7"/>
    </row>
    <row r="47" spans="1:11" ht="13">
      <c r="A47" s="2">
        <f t="shared" si="5"/>
        <v>34</v>
      </c>
      <c r="C47" s="61">
        <v>930.1</v>
      </c>
      <c r="D47" s="140">
        <f t="shared" si="4"/>
        <v>4498348</v>
      </c>
      <c r="E47" s="509">
        <v>4498348</v>
      </c>
      <c r="F47" s="1072"/>
      <c r="G47" s="1072">
        <v>0</v>
      </c>
      <c r="H47" s="1072"/>
      <c r="I47" s="16"/>
      <c r="K47" s="7"/>
    </row>
    <row r="48" spans="1:11" ht="13">
      <c r="A48" s="2">
        <f t="shared" si="5"/>
        <v>35</v>
      </c>
      <c r="C48" s="61">
        <v>930.2</v>
      </c>
      <c r="D48" s="140">
        <f t="shared" si="4"/>
        <v>5984741</v>
      </c>
      <c r="E48" s="509">
        <v>5984741</v>
      </c>
      <c r="F48" s="1072"/>
      <c r="G48" s="1072">
        <v>0</v>
      </c>
      <c r="H48" s="1072"/>
      <c r="I48" s="16"/>
      <c r="J48" s="483"/>
    </row>
    <row r="49" spans="1:10" ht="13">
      <c r="A49" s="2">
        <f t="shared" si="5"/>
        <v>36</v>
      </c>
      <c r="C49" s="61">
        <v>931</v>
      </c>
      <c r="D49" s="140">
        <f t="shared" si="4"/>
        <v>12016812.699999999</v>
      </c>
      <c r="E49" s="509">
        <v>12016812.699999999</v>
      </c>
      <c r="F49" s="1072"/>
      <c r="G49" s="1072">
        <v>0</v>
      </c>
      <c r="H49" s="1072"/>
      <c r="I49" s="16"/>
      <c r="J49" s="7"/>
    </row>
    <row r="50" spans="1:10" ht="13">
      <c r="A50" s="2">
        <f t="shared" si="5"/>
        <v>37</v>
      </c>
      <c r="C50" s="61">
        <v>935</v>
      </c>
      <c r="D50" s="140">
        <f t="shared" si="4"/>
        <v>811671.73</v>
      </c>
      <c r="E50" s="509">
        <v>811671.73</v>
      </c>
      <c r="F50" s="1072"/>
      <c r="G50" s="1072">
        <v>0</v>
      </c>
      <c r="H50" s="1072"/>
      <c r="I50" s="16"/>
    </row>
    <row r="51" spans="1:10" s="14" customFormat="1" ht="13">
      <c r="A51" s="109"/>
      <c r="C51" s="915"/>
      <c r="D51" s="1346"/>
      <c r="E51" s="490"/>
      <c r="F51" s="63"/>
      <c r="G51" s="63"/>
      <c r="H51" s="63"/>
      <c r="I51" s="112"/>
    </row>
    <row r="52" spans="1:10" s="1048" customFormat="1" ht="13">
      <c r="A52" s="572"/>
      <c r="C52" s="1322"/>
      <c r="D52" s="140"/>
      <c r="E52" s="490"/>
      <c r="F52" s="63"/>
      <c r="G52" s="63"/>
      <c r="H52" s="63"/>
      <c r="I52" s="16"/>
    </row>
    <row r="53" spans="1:10" ht="13">
      <c r="B53" s="44" t="s">
        <v>1994</v>
      </c>
      <c r="C53" s="14"/>
      <c r="D53" s="14"/>
      <c r="E53" s="14"/>
      <c r="F53" s="14"/>
      <c r="G53" s="14"/>
      <c r="H53" s="14"/>
    </row>
    <row r="54" spans="1:10" ht="13">
      <c r="B54" s="44"/>
      <c r="C54" s="478" t="s">
        <v>1995</v>
      </c>
      <c r="D54" s="14"/>
      <c r="E54" s="14"/>
      <c r="F54" s="14"/>
      <c r="G54" s="109"/>
      <c r="H54" s="109"/>
    </row>
    <row r="55" spans="1:10" ht="13">
      <c r="B55" s="44"/>
      <c r="C55" s="614" t="s">
        <v>2154</v>
      </c>
      <c r="D55" s="598"/>
      <c r="E55" s="598"/>
      <c r="F55" s="14"/>
      <c r="G55" s="109"/>
      <c r="H55" s="109"/>
    </row>
    <row r="56" spans="1:10" ht="13">
      <c r="B56" s="44"/>
      <c r="C56" s="14"/>
      <c r="D56" s="14"/>
      <c r="E56" s="14"/>
      <c r="F56" s="14"/>
      <c r="G56" s="123" t="s">
        <v>175</v>
      </c>
      <c r="H56" s="123" t="s">
        <v>179</v>
      </c>
    </row>
    <row r="57" spans="1:10" ht="13">
      <c r="A57" s="2"/>
      <c r="B57" s="572" t="s">
        <v>1678</v>
      </c>
      <c r="E57" s="14"/>
      <c r="F57" s="918" t="s">
        <v>1996</v>
      </c>
      <c r="G57" s="509">
        <v>148050456</v>
      </c>
      <c r="H57" s="475" t="s">
        <v>33</v>
      </c>
    </row>
    <row r="58" spans="1:10" ht="13">
      <c r="A58" s="2"/>
      <c r="B58" s="572" t="s">
        <v>1679</v>
      </c>
      <c r="C58" s="12"/>
      <c r="E58" s="14"/>
      <c r="F58" s="918" t="s">
        <v>1997</v>
      </c>
      <c r="G58" s="100">
        <f>E62</f>
        <v>14080414.872411605</v>
      </c>
      <c r="H58" s="480" t="str">
        <f>"Note 2, "&amp;B62&amp;""</f>
        <v>Note 2, d</v>
      </c>
    </row>
    <row r="59" spans="1:10" ht="13">
      <c r="A59" s="2"/>
      <c r="B59" s="572" t="s">
        <v>1680</v>
      </c>
      <c r="F59" s="474" t="s">
        <v>1684</v>
      </c>
      <c r="G59" s="7">
        <f>G57-G58</f>
        <v>133970041.12758839</v>
      </c>
    </row>
    <row r="60" spans="1:10" ht="13">
      <c r="A60" s="2"/>
      <c r="C60" s="614" t="s">
        <v>2153</v>
      </c>
      <c r="D60" s="598"/>
      <c r="E60" s="598"/>
      <c r="G60" s="7"/>
    </row>
    <row r="61" spans="1:10" ht="13">
      <c r="A61" s="2"/>
      <c r="D61" s="51" t="s">
        <v>1369</v>
      </c>
      <c r="E61" s="3" t="s">
        <v>175</v>
      </c>
      <c r="F61" s="62" t="s">
        <v>179</v>
      </c>
      <c r="G61" s="7"/>
    </row>
    <row r="62" spans="1:10" ht="13">
      <c r="A62" s="2"/>
      <c r="B62" s="572" t="s">
        <v>1681</v>
      </c>
      <c r="D62" t="s">
        <v>1370</v>
      </c>
      <c r="E62" s="1047">
        <v>14080414.872411605</v>
      </c>
      <c r="F62" s="475" t="s">
        <v>1991</v>
      </c>
      <c r="G62" s="63"/>
      <c r="I62" s="14"/>
    </row>
    <row r="63" spans="1:10" ht="13">
      <c r="A63" s="2"/>
      <c r="B63" s="109" t="s">
        <v>1682</v>
      </c>
      <c r="C63" s="14"/>
      <c r="D63" s="478" t="s">
        <v>357</v>
      </c>
      <c r="E63" s="1047">
        <v>6519087.5034648124</v>
      </c>
      <c r="F63" s="475" t="s">
        <v>1991</v>
      </c>
      <c r="G63" s="63"/>
      <c r="I63" s="602"/>
    </row>
    <row r="64" spans="1:10" ht="13">
      <c r="A64" s="2"/>
      <c r="B64" s="109" t="s">
        <v>1683</v>
      </c>
      <c r="C64" s="14"/>
      <c r="D64" s="478" t="s">
        <v>1371</v>
      </c>
      <c r="E64" s="1300">
        <v>22710657.624123573</v>
      </c>
      <c r="F64" s="475" t="s">
        <v>1991</v>
      </c>
      <c r="G64" s="63"/>
      <c r="I64" s="63"/>
    </row>
    <row r="65" spans="1:10" ht="13">
      <c r="A65" s="2"/>
      <c r="B65" s="109" t="s">
        <v>1685</v>
      </c>
      <c r="C65" s="14"/>
      <c r="D65" s="363" t="s">
        <v>4</v>
      </c>
      <c r="E65" s="7">
        <f>SUM(E62:E64)</f>
        <v>43310159.999999993</v>
      </c>
      <c r="F65" s="46" t="str">
        <f>"Sum of "&amp;B62&amp;" to "&amp;B64&amp;""</f>
        <v>Sum of d to f</v>
      </c>
      <c r="G65" s="63"/>
      <c r="I65" s="14"/>
    </row>
    <row r="66" spans="1:10">
      <c r="F66" s="14"/>
      <c r="G66" s="14"/>
    </row>
    <row r="67" spans="1:10" ht="13">
      <c r="B67" s="1080" t="s">
        <v>486</v>
      </c>
      <c r="C67" s="60"/>
      <c r="D67" s="60"/>
      <c r="E67" s="60"/>
      <c r="F67" s="532"/>
      <c r="G67" s="532"/>
    </row>
    <row r="68" spans="1:10" ht="13">
      <c r="B68" s="60"/>
      <c r="C68" s="60"/>
      <c r="D68" s="60"/>
      <c r="E68" s="62" t="s">
        <v>175</v>
      </c>
      <c r="F68" s="1077" t="s">
        <v>236</v>
      </c>
      <c r="G68" s="532"/>
    </row>
    <row r="69" spans="1:10" ht="13">
      <c r="A69" s="2"/>
      <c r="B69" s="192" t="s">
        <v>1678</v>
      </c>
      <c r="C69" s="60"/>
      <c r="D69" s="1085" t="s">
        <v>1962</v>
      </c>
      <c r="E69" s="483">
        <v>6329000</v>
      </c>
      <c r="F69" s="5" t="s">
        <v>488</v>
      </c>
      <c r="G69" s="1262"/>
    </row>
    <row r="70" spans="1:10" s="1048" customFormat="1" ht="13">
      <c r="A70" s="572"/>
      <c r="B70" s="192" t="s">
        <v>1679</v>
      </c>
      <c r="C70" s="60"/>
      <c r="D70" s="1085" t="s">
        <v>2417</v>
      </c>
      <c r="E70" s="1204">
        <v>18219000</v>
      </c>
      <c r="F70" s="1083" t="s">
        <v>2418</v>
      </c>
      <c r="G70" s="532"/>
    </row>
    <row r="71" spans="1:10" ht="13">
      <c r="A71" s="2"/>
      <c r="B71" s="192" t="s">
        <v>1680</v>
      </c>
      <c r="C71" s="60"/>
      <c r="D71" s="1085" t="s">
        <v>483</v>
      </c>
      <c r="E71" s="1079">
        <v>6329000</v>
      </c>
      <c r="F71" s="944" t="s">
        <v>33</v>
      </c>
      <c r="G71" s="532"/>
    </row>
    <row r="72" spans="1:10" ht="13">
      <c r="A72" s="2"/>
      <c r="B72" s="192" t="s">
        <v>1681</v>
      </c>
      <c r="C72" s="60"/>
      <c r="D72" s="1078" t="s">
        <v>485</v>
      </c>
      <c r="E72" s="1081">
        <f>E71-E70</f>
        <v>-11890000</v>
      </c>
      <c r="F72" s="1082" t="str">
        <f>""&amp;B71&amp;" - "&amp;B70&amp;""</f>
        <v>c - b</v>
      </c>
      <c r="G72" s="60"/>
    </row>
    <row r="73" spans="1:10" ht="13">
      <c r="A73" s="470"/>
      <c r="B73" s="1" t="s">
        <v>1444</v>
      </c>
      <c r="D73" s="92"/>
      <c r="E73" s="141"/>
      <c r="F73" s="13"/>
    </row>
    <row r="74" spans="1:10" ht="13">
      <c r="A74" s="470"/>
      <c r="B74" s="1"/>
      <c r="C74" t="str">
        <f>"Amount in Line "&amp;A44&amp;", column 2 equals amount in Line "&amp;A13&amp;", column 1 because all Franchise Requirements Expenses are excluded"</f>
        <v>Amount in Line 31, column 2 equals amount in Line 8, column 1 because all Franchise Requirements Expenses are excluded</v>
      </c>
      <c r="D74" s="92"/>
      <c r="E74" s="141"/>
      <c r="F74" s="13"/>
    </row>
    <row r="75" spans="1:10" ht="13">
      <c r="A75" s="470"/>
      <c r="B75" s="1"/>
      <c r="C75" s="12" t="s">
        <v>1445</v>
      </c>
      <c r="D75" s="92"/>
      <c r="E75" s="141"/>
      <c r="F75" s="13"/>
    </row>
    <row r="77" spans="1:10" ht="13">
      <c r="B77" s="1" t="s">
        <v>378</v>
      </c>
    </row>
    <row r="78" spans="1:10">
      <c r="C78" s="15" t="str">
        <f>"1) Enter amounts of A&amp;G expenses from FERC Form 1 in Lines "&amp;A6&amp;" to "&amp;A19&amp;"."</f>
        <v>1) Enter amounts of A&amp;G expenses from FERC Form 1 in Lines 1 to 14.</v>
      </c>
      <c r="D78" s="14"/>
      <c r="E78" s="14"/>
      <c r="F78" s="14"/>
      <c r="G78" s="14"/>
      <c r="H78" s="14"/>
      <c r="I78" s="14"/>
      <c r="J78" s="14"/>
    </row>
    <row r="79" spans="1:10">
      <c r="C79" s="478" t="s">
        <v>1998</v>
      </c>
      <c r="D79" s="14"/>
      <c r="E79" s="14"/>
      <c r="F79" s="14"/>
      <c r="G79" s="14" t="str">
        <f>"Column 3, Line "&amp;A37&amp;""</f>
        <v>Column 3, Line 24</v>
      </c>
      <c r="H79" s="14"/>
      <c r="I79" s="14"/>
      <c r="J79" s="14"/>
    </row>
    <row r="80" spans="1:10">
      <c r="C80" s="475" t="str">
        <f>"is calculated in Note 2.  The PBOPs exclusion in Column 4, Line "&amp;A43&amp;" is calculated in Note 3."</f>
        <v>is calculated in Note 2.  The PBOPs exclusion in Column 4, Line 30 is calculated in Note 3.</v>
      </c>
      <c r="D80" s="14"/>
      <c r="E80" s="14"/>
      <c r="F80" s="14"/>
      <c r="G80" s="15"/>
      <c r="H80" s="14"/>
      <c r="I80" s="14"/>
      <c r="J80" s="14"/>
    </row>
    <row r="81" spans="3:10">
      <c r="C81" s="475" t="s">
        <v>1669</v>
      </c>
      <c r="D81" s="14"/>
      <c r="E81" s="14"/>
      <c r="F81" s="14"/>
      <c r="G81" s="14"/>
      <c r="H81" s="14"/>
      <c r="I81" s="14"/>
      <c r="J81" s="14"/>
    </row>
    <row r="82" spans="3:10">
      <c r="C82" s="475" t="s">
        <v>1754</v>
      </c>
      <c r="D82" s="363"/>
      <c r="E82" s="471"/>
      <c r="F82" s="46"/>
      <c r="G82" s="14"/>
      <c r="H82" s="14"/>
      <c r="I82" s="14"/>
      <c r="J82" s="14"/>
    </row>
    <row r="83" spans="3:10">
      <c r="C83" s="475" t="s">
        <v>1750</v>
      </c>
      <c r="D83" s="363"/>
      <c r="E83" s="471"/>
      <c r="F83" s="46"/>
      <c r="G83" s="14"/>
      <c r="H83" s="14"/>
      <c r="I83" s="14"/>
      <c r="J83" s="14"/>
    </row>
    <row r="84" spans="3:10">
      <c r="C84" s="475" t="s">
        <v>1751</v>
      </c>
      <c r="D84" s="14"/>
      <c r="E84" s="14"/>
      <c r="F84" s="14"/>
      <c r="G84" s="14"/>
      <c r="H84" s="14"/>
      <c r="I84" s="14"/>
      <c r="J84" s="14"/>
    </row>
    <row r="85" spans="3:10">
      <c r="C85" s="46" t="s">
        <v>487</v>
      </c>
      <c r="D85" s="14"/>
      <c r="E85" s="14"/>
      <c r="F85" s="14"/>
      <c r="G85" s="14"/>
      <c r="H85" s="14"/>
      <c r="I85" s="14"/>
      <c r="J85" s="14"/>
    </row>
    <row r="86" spans="3:10">
      <c r="C86" s="475" t="s">
        <v>1752</v>
      </c>
      <c r="D86" s="14"/>
      <c r="E86" s="14"/>
      <c r="F86" s="14"/>
      <c r="G86" s="14"/>
      <c r="H86" s="14"/>
      <c r="I86" s="14"/>
      <c r="J86" s="14"/>
    </row>
    <row r="87" spans="3:10">
      <c r="C87" s="475" t="s">
        <v>1453</v>
      </c>
      <c r="D87" s="14"/>
      <c r="E87" s="14"/>
      <c r="F87" s="14"/>
      <c r="G87" s="14"/>
      <c r="H87" s="14"/>
      <c r="I87" s="14"/>
      <c r="J87" s="14"/>
    </row>
    <row r="88" spans="3:10">
      <c r="C88" s="475" t="s">
        <v>1753</v>
      </c>
      <c r="D88" s="14"/>
      <c r="E88" s="14"/>
      <c r="F88" s="14"/>
      <c r="G88" s="14"/>
      <c r="H88" s="14"/>
      <c r="I88" s="14"/>
      <c r="J88" s="14"/>
    </row>
    <row r="89" spans="3:10">
      <c r="C89" s="475" t="s">
        <v>1775</v>
      </c>
      <c r="D89" s="478"/>
      <c r="E89" s="966"/>
      <c r="F89" s="966"/>
      <c r="G89" s="966"/>
      <c r="H89" s="14"/>
      <c r="I89" s="14"/>
      <c r="J89" s="14"/>
    </row>
    <row r="90" spans="3:10">
      <c r="C90" s="921" t="s">
        <v>1773</v>
      </c>
      <c r="D90" s="478"/>
      <c r="E90" s="966"/>
      <c r="F90" s="966"/>
      <c r="G90" s="966"/>
      <c r="H90" s="14"/>
      <c r="I90" s="14"/>
      <c r="J90" s="14"/>
    </row>
    <row r="91" spans="3:10">
      <c r="C91" s="921" t="s">
        <v>1774</v>
      </c>
      <c r="D91" s="478"/>
      <c r="E91" s="966"/>
      <c r="F91" s="966"/>
      <c r="G91" s="966"/>
      <c r="H91" s="14"/>
      <c r="I91" s="14"/>
      <c r="J91" s="14"/>
    </row>
    <row r="92" spans="3:10">
      <c r="C92" s="921" t="s">
        <v>1776</v>
      </c>
      <c r="D92" s="478"/>
      <c r="E92" s="966"/>
      <c r="F92" s="966"/>
      <c r="G92" s="966"/>
      <c r="H92" s="14"/>
      <c r="I92" s="14"/>
      <c r="J92" s="14"/>
    </row>
    <row r="93" spans="3:10">
      <c r="C93" s="475" t="s">
        <v>1851</v>
      </c>
      <c r="D93" s="478"/>
      <c r="E93" s="966"/>
      <c r="F93" s="966"/>
      <c r="G93" s="966"/>
      <c r="H93" s="14"/>
      <c r="I93" s="14"/>
      <c r="J93" s="14"/>
    </row>
    <row r="94" spans="3:10">
      <c r="C94" s="921" t="s">
        <v>1849</v>
      </c>
      <c r="D94" s="478"/>
      <c r="E94" s="966"/>
      <c r="F94" s="966"/>
      <c r="G94" s="966"/>
      <c r="H94" s="14"/>
      <c r="I94" s="14"/>
      <c r="J94" s="14"/>
    </row>
    <row r="95" spans="3:10">
      <c r="C95" s="921" t="s">
        <v>1850</v>
      </c>
      <c r="D95" s="478"/>
      <c r="E95" s="966"/>
      <c r="F95" s="966"/>
      <c r="G95" s="966"/>
      <c r="H95" s="14"/>
      <c r="I95" s="14"/>
      <c r="J95" s="14"/>
    </row>
    <row r="96" spans="3:10">
      <c r="C96" s="921" t="s">
        <v>2351</v>
      </c>
      <c r="D96" s="478"/>
      <c r="E96" s="966"/>
      <c r="F96" s="966"/>
      <c r="G96" s="966"/>
      <c r="H96" s="14"/>
      <c r="I96" s="14"/>
      <c r="J96" s="14"/>
    </row>
    <row r="97" spans="3:10">
      <c r="C97" s="921" t="s">
        <v>1852</v>
      </c>
      <c r="D97" s="478"/>
      <c r="E97" s="966"/>
      <c r="F97" s="966"/>
      <c r="G97" s="966"/>
      <c r="H97" s="14"/>
      <c r="I97" s="14"/>
      <c r="J97" s="14"/>
    </row>
    <row r="98" spans="3:10" ht="13">
      <c r="C98" s="967" t="s">
        <v>1999</v>
      </c>
      <c r="D98" s="598"/>
      <c r="E98" s="598"/>
      <c r="F98" s="598"/>
      <c r="G98" s="598"/>
      <c r="H98" s="598"/>
      <c r="I98" s="598"/>
      <c r="J98" s="598"/>
    </row>
    <row r="99" spans="3:10">
      <c r="C99" s="478" t="s">
        <v>2000</v>
      </c>
      <c r="D99" s="14"/>
      <c r="E99" s="14"/>
      <c r="F99" s="14"/>
      <c r="G99" s="14"/>
      <c r="H99" s="14"/>
      <c r="I99" s="14"/>
      <c r="J99" s="14"/>
    </row>
    <row r="100" spans="3:10">
      <c r="C100" s="967" t="s">
        <v>2001</v>
      </c>
      <c r="D100" s="614"/>
      <c r="E100" s="614"/>
      <c r="F100" s="614"/>
      <c r="G100" s="614"/>
      <c r="H100" s="614"/>
      <c r="I100" s="614"/>
      <c r="J100" s="14"/>
    </row>
    <row r="101" spans="3:10">
      <c r="C101" s="15" t="str">
        <f>"4) Determine the PBOPs exclusion.  The authorized amount of PBOPs expense (line "&amp;B69&amp;") may only be revised"</f>
        <v>4) Determine the PBOPs exclusion.  The authorized amount of PBOPs expense (line a) may only be revised</v>
      </c>
      <c r="D101" s="14"/>
      <c r="E101" s="14"/>
      <c r="F101" s="14"/>
      <c r="G101" s="14"/>
      <c r="H101" s="14"/>
      <c r="I101" s="14"/>
      <c r="J101" s="14"/>
    </row>
    <row r="102" spans="3:10">
      <c r="C102" s="15" t="s">
        <v>1101</v>
      </c>
      <c r="D102" s="14"/>
      <c r="E102" s="14"/>
      <c r="F102" s="14"/>
      <c r="G102" s="14"/>
      <c r="H102" s="14"/>
      <c r="I102" s="14"/>
      <c r="J102" s="14"/>
    </row>
    <row r="103" spans="3:10">
      <c r="C103" s="478" t="s">
        <v>2419</v>
      </c>
      <c r="D103" s="14"/>
      <c r="E103" s="14"/>
      <c r="F103" s="14"/>
      <c r="G103" s="14"/>
      <c r="H103" s="14"/>
      <c r="I103" s="14"/>
      <c r="J103" s="14"/>
    </row>
    <row r="104" spans="3:10">
      <c r="C104" s="478" t="s">
        <v>2420</v>
      </c>
      <c r="D104" s="14"/>
      <c r="E104" s="14"/>
      <c r="F104" s="14"/>
      <c r="G104" s="14"/>
      <c r="H104" s="14"/>
      <c r="I104" s="1054" t="s">
        <v>2802</v>
      </c>
      <c r="J104" s="1084"/>
    </row>
    <row r="105" spans="3:10">
      <c r="C105" s="478" t="s">
        <v>1816</v>
      </c>
      <c r="D105" s="14"/>
      <c r="E105" s="14"/>
      <c r="F105" s="14"/>
      <c r="G105" s="14"/>
      <c r="H105" s="14"/>
      <c r="I105" s="14"/>
    </row>
  </sheetData>
  <phoneticPr fontId="23" type="noConversion"/>
  <pageMargins left="0.75" right="0.75" top="1" bottom="1" header="0.5" footer="0.5"/>
  <pageSetup scale="70" orientation="landscape" cellComments="asDisplayed" r:id="rId1"/>
  <headerFooter alignWithMargins="0">
    <oddHeader>&amp;CSchedule 20
Administrative and General Expenses
&amp;RTO2021 Annual Update
Attachment 5
TO2018 True Up TRR</oddHeader>
    <oddFooter>&amp;R&amp;A</oddFooter>
  </headerFooter>
  <rowBreaks count="2" manualBreakCount="2">
    <brk id="51" max="9" man="1"/>
    <brk id="7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261"/>
  <sheetViews>
    <sheetView zoomScale="80" zoomScaleNormal="80" zoomScalePageLayoutView="70" workbookViewId="0">
      <selection activeCell="A3" sqref="A3"/>
    </sheetView>
  </sheetViews>
  <sheetFormatPr defaultRowHeight="12.5"/>
  <cols>
    <col min="1" max="1" width="6.453125" style="223" customWidth="1"/>
    <col min="2" max="2" width="8.54296875" style="41" customWidth="1"/>
    <col min="3" max="3" width="9.54296875" style="223" customWidth="1"/>
    <col min="4" max="4" width="51.54296875" style="41" customWidth="1"/>
    <col min="5" max="6" width="16.453125" style="357" customWidth="1"/>
    <col min="7" max="7" width="18.453125" style="357" bestFit="1" customWidth="1"/>
    <col min="8" max="8" width="15.54296875" style="221" bestFit="1" customWidth="1"/>
    <col min="9" max="9" width="16.54296875" style="221" bestFit="1" customWidth="1"/>
    <col min="10" max="10" width="15.54296875" style="357" customWidth="1"/>
    <col min="11" max="11" width="6.54296875" style="313" customWidth="1"/>
    <col min="12" max="12" width="16.453125" style="299" customWidth="1"/>
    <col min="13" max="13" width="17.453125" style="213" bestFit="1" customWidth="1"/>
    <col min="14" max="14" width="18.453125" style="357" bestFit="1" customWidth="1"/>
    <col min="15" max="15" width="8.54296875" style="213" customWidth="1"/>
  </cols>
  <sheetData>
    <row r="1" spans="1:15" ht="13">
      <c r="A1" s="335"/>
      <c r="B1" s="193" t="s">
        <v>554</v>
      </c>
      <c r="C1" s="194" t="s">
        <v>555</v>
      </c>
      <c r="D1" s="193" t="s">
        <v>556</v>
      </c>
      <c r="E1" s="194" t="s">
        <v>557</v>
      </c>
      <c r="F1" s="193" t="s">
        <v>558</v>
      </c>
      <c r="G1" s="194" t="s">
        <v>559</v>
      </c>
      <c r="H1" s="193" t="s">
        <v>560</v>
      </c>
      <c r="I1" s="194" t="s">
        <v>561</v>
      </c>
      <c r="J1" s="193" t="s">
        <v>562</v>
      </c>
      <c r="K1" s="194" t="s">
        <v>563</v>
      </c>
      <c r="L1" s="193" t="s">
        <v>564</v>
      </c>
      <c r="M1" s="194" t="s">
        <v>565</v>
      </c>
      <c r="N1" s="193" t="s">
        <v>566</v>
      </c>
      <c r="O1" s="194" t="s">
        <v>567</v>
      </c>
    </row>
    <row r="2" spans="1:15">
      <c r="A2" s="332"/>
      <c r="B2" s="333"/>
      <c r="C2" s="333"/>
      <c r="D2" s="333"/>
      <c r="E2" s="334"/>
      <c r="F2" s="334"/>
      <c r="G2" s="1429" t="s">
        <v>568</v>
      </c>
      <c r="H2" s="1430"/>
      <c r="I2" s="1431"/>
      <c r="J2" s="1429" t="s">
        <v>569</v>
      </c>
      <c r="K2" s="1430"/>
      <c r="L2" s="1430"/>
      <c r="M2" s="1431"/>
      <c r="N2" s="316" t="s">
        <v>570</v>
      </c>
      <c r="O2" s="332"/>
    </row>
    <row r="3" spans="1:15" ht="26.25" customHeight="1">
      <c r="A3" s="195" t="s">
        <v>330</v>
      </c>
      <c r="B3" s="196" t="s">
        <v>571</v>
      </c>
      <c r="C3" s="197" t="s">
        <v>572</v>
      </c>
      <c r="D3" s="196" t="s">
        <v>573</v>
      </c>
      <c r="E3" s="290" t="s">
        <v>574</v>
      </c>
      <c r="F3" s="291" t="s">
        <v>575</v>
      </c>
      <c r="G3" s="291" t="s">
        <v>196</v>
      </c>
      <c r="H3" s="198" t="s">
        <v>428</v>
      </c>
      <c r="I3" s="198" t="s">
        <v>576</v>
      </c>
      <c r="J3" s="290" t="s">
        <v>196</v>
      </c>
      <c r="K3" s="312" t="s">
        <v>577</v>
      </c>
      <c r="L3" s="293" t="s">
        <v>578</v>
      </c>
      <c r="M3" s="199" t="s">
        <v>297</v>
      </c>
      <c r="N3" s="290" t="s">
        <v>196</v>
      </c>
      <c r="O3" s="199" t="s">
        <v>168</v>
      </c>
    </row>
    <row r="4" spans="1:15">
      <c r="A4" s="200" t="s">
        <v>579</v>
      </c>
      <c r="B4" s="201">
        <v>450</v>
      </c>
      <c r="C4" s="201" t="s">
        <v>580</v>
      </c>
      <c r="D4" s="202" t="s">
        <v>1196</v>
      </c>
      <c r="E4" s="1069">
        <v>5566386.1600000001</v>
      </c>
      <c r="F4" s="301" t="s">
        <v>568</v>
      </c>
      <c r="G4" s="297">
        <f>IF(F4=$G$2,E4,0)</f>
        <v>5566386.1600000001</v>
      </c>
      <c r="H4" s="203">
        <v>0</v>
      </c>
      <c r="I4" s="204">
        <f>G4-H4</f>
        <v>5566386.1600000001</v>
      </c>
      <c r="J4" s="297">
        <f>IF(F4=$J$2,E4,0)</f>
        <v>0</v>
      </c>
      <c r="K4" s="292"/>
      <c r="L4" s="301"/>
      <c r="M4" s="204">
        <f>J4-L4</f>
        <v>0</v>
      </c>
      <c r="N4" s="297">
        <f>IF(F4=$N$2,E4,0)</f>
        <v>0</v>
      </c>
      <c r="O4" s="203">
        <v>1</v>
      </c>
    </row>
    <row r="5" spans="1:15">
      <c r="A5" s="205" t="s">
        <v>581</v>
      </c>
      <c r="B5" s="201">
        <v>450</v>
      </c>
      <c r="C5" s="206" t="s">
        <v>582</v>
      </c>
      <c r="D5" s="202" t="s">
        <v>583</v>
      </c>
      <c r="E5" s="1069">
        <v>10435355.42</v>
      </c>
      <c r="F5" s="301" t="s">
        <v>568</v>
      </c>
      <c r="G5" s="297">
        <f>IF(F5=$G$2,E5,0)</f>
        <v>10435355.42</v>
      </c>
      <c r="H5" s="203">
        <v>0</v>
      </c>
      <c r="I5" s="204">
        <f>G5-H5</f>
        <v>10435355.42</v>
      </c>
      <c r="J5" s="297">
        <f>IF(F5=$J$2,E5,0)</f>
        <v>0</v>
      </c>
      <c r="K5" s="292"/>
      <c r="L5" s="301"/>
      <c r="M5" s="204">
        <f>J5-L5</f>
        <v>0</v>
      </c>
      <c r="N5" s="297">
        <f>IF(F5=$N$2,E5,0)</f>
        <v>0</v>
      </c>
      <c r="O5" s="203">
        <v>1</v>
      </c>
    </row>
    <row r="6" spans="1:15">
      <c r="A6" s="331"/>
      <c r="B6" s="327"/>
      <c r="C6" s="326"/>
      <c r="D6" s="328"/>
      <c r="E6" s="306"/>
      <c r="F6" s="306"/>
      <c r="G6" s="301"/>
      <c r="H6" s="302"/>
      <c r="I6" s="303"/>
      <c r="J6" s="301"/>
      <c r="K6" s="305"/>
      <c r="L6" s="301"/>
      <c r="M6" s="303"/>
      <c r="N6" s="301"/>
      <c r="O6" s="302"/>
    </row>
    <row r="7" spans="1:15">
      <c r="A7" s="331"/>
      <c r="B7" s="327"/>
      <c r="C7" s="326"/>
      <c r="D7" s="328"/>
      <c r="E7" s="306"/>
      <c r="F7" s="306"/>
      <c r="G7" s="301"/>
      <c r="H7" s="302"/>
      <c r="I7" s="303"/>
      <c r="J7" s="301"/>
      <c r="K7" s="305"/>
      <c r="L7" s="301"/>
      <c r="M7" s="303"/>
      <c r="N7" s="301"/>
      <c r="O7" s="302"/>
    </row>
    <row r="8" spans="1:15" ht="13">
      <c r="A8" s="205">
        <v>2</v>
      </c>
      <c r="B8" s="1410" t="s">
        <v>585</v>
      </c>
      <c r="C8" s="1411"/>
      <c r="D8" s="1412"/>
      <c r="E8" s="310">
        <f>SUM(E4:E7)</f>
        <v>16001741.58</v>
      </c>
      <c r="F8" s="319"/>
      <c r="G8" s="310">
        <f>SUM(G4:G7)</f>
        <v>16001741.58</v>
      </c>
      <c r="H8" s="194">
        <f>SUM(H4:H7)</f>
        <v>0</v>
      </c>
      <c r="I8" s="310">
        <f>SUM(I4:I7)</f>
        <v>16001741.58</v>
      </c>
      <c r="J8" s="310">
        <f>SUM(J4:J7)</f>
        <v>0</v>
      </c>
      <c r="K8" s="319"/>
      <c r="L8" s="310">
        <f>SUM(L4:L7)</f>
        <v>0</v>
      </c>
      <c r="M8" s="310">
        <f>SUM(M4:M7)</f>
        <v>0</v>
      </c>
      <c r="N8" s="310">
        <f>SUM(N4:N7)</f>
        <v>0</v>
      </c>
      <c r="O8" s="203"/>
    </row>
    <row r="9" spans="1:15" ht="12.75" customHeight="1">
      <c r="A9" s="205">
        <v>3</v>
      </c>
      <c r="B9" s="1432" t="s">
        <v>1228</v>
      </c>
      <c r="C9" s="1433"/>
      <c r="D9" s="1434"/>
      <c r="E9" s="1195">
        <v>16001742</v>
      </c>
      <c r="F9" s="309"/>
      <c r="G9" s="296"/>
      <c r="H9" s="309"/>
      <c r="I9" s="309"/>
      <c r="J9" s="296"/>
      <c r="K9" s="309"/>
      <c r="L9" s="296"/>
      <c r="M9" s="296"/>
      <c r="N9" s="296"/>
      <c r="O9" s="192"/>
    </row>
    <row r="10" spans="1:15" ht="13">
      <c r="A10" s="208"/>
      <c r="B10" s="209"/>
      <c r="C10" s="210"/>
      <c r="D10" s="211"/>
      <c r="E10" s="296"/>
      <c r="F10" s="296"/>
      <c r="G10" s="296"/>
      <c r="H10" s="309"/>
      <c r="I10" s="309"/>
      <c r="J10" s="296"/>
      <c r="K10" s="309"/>
      <c r="L10" s="296"/>
      <c r="M10" s="296"/>
      <c r="N10" s="296"/>
      <c r="O10" s="192"/>
    </row>
    <row r="11" spans="1:15">
      <c r="A11" s="205" t="s">
        <v>586</v>
      </c>
      <c r="B11" s="201">
        <v>451</v>
      </c>
      <c r="C11" s="206" t="s">
        <v>587</v>
      </c>
      <c r="D11" s="202" t="s">
        <v>588</v>
      </c>
      <c r="E11" s="1305">
        <v>104223.67999999999</v>
      </c>
      <c r="F11" s="1306" t="s">
        <v>568</v>
      </c>
      <c r="G11" s="1307">
        <f t="shared" ref="G11:G20" si="0">IF(F11=$G$2,E11,0)</f>
        <v>104223.67999999999</v>
      </c>
      <c r="H11" s="1308">
        <v>0</v>
      </c>
      <c r="I11" s="1308">
        <f>G11-H11</f>
        <v>104223.67999999999</v>
      </c>
      <c r="J11" s="1307">
        <f t="shared" ref="J11:J20" si="1">IF(F11=$J$2,E11,0)</f>
        <v>0</v>
      </c>
      <c r="K11" s="1307"/>
      <c r="L11" s="1309"/>
      <c r="M11" s="1308">
        <f t="shared" ref="M11:M17" si="2">J11-L11</f>
        <v>0</v>
      </c>
      <c r="N11" s="1307">
        <f t="shared" ref="N11:N18" si="3">IF(F11=$N$2,E11,0)</f>
        <v>0</v>
      </c>
      <c r="O11" s="1308">
        <v>1</v>
      </c>
    </row>
    <row r="12" spans="1:15">
      <c r="A12" s="205" t="s">
        <v>589</v>
      </c>
      <c r="B12" s="201">
        <v>451</v>
      </c>
      <c r="C12" s="206" t="s">
        <v>590</v>
      </c>
      <c r="D12" s="970" t="s">
        <v>591</v>
      </c>
      <c r="E12" s="1305">
        <v>117079.97</v>
      </c>
      <c r="F12" s="1306" t="s">
        <v>568</v>
      </c>
      <c r="G12" s="1307">
        <f>IF(F12=$G$2,E12,0)</f>
        <v>117079.97</v>
      </c>
      <c r="H12" s="1308">
        <v>0</v>
      </c>
      <c r="I12" s="1308">
        <f t="shared" ref="I12:I20" si="4">G12-H12</f>
        <v>117079.97</v>
      </c>
      <c r="J12" s="1307">
        <f t="shared" si="1"/>
        <v>0</v>
      </c>
      <c r="K12" s="1307"/>
      <c r="L12" s="1309"/>
      <c r="M12" s="1308">
        <f t="shared" si="2"/>
        <v>0</v>
      </c>
      <c r="N12" s="1307">
        <f t="shared" si="3"/>
        <v>0</v>
      </c>
      <c r="O12" s="1308">
        <v>1</v>
      </c>
    </row>
    <row r="13" spans="1:15">
      <c r="A13" s="205" t="s">
        <v>592</v>
      </c>
      <c r="B13" s="201">
        <v>451</v>
      </c>
      <c r="C13" s="206" t="s">
        <v>593</v>
      </c>
      <c r="D13" s="202" t="s">
        <v>594</v>
      </c>
      <c r="E13" s="1305"/>
      <c r="F13" s="1306" t="s">
        <v>568</v>
      </c>
      <c r="G13" s="1307">
        <f t="shared" si="0"/>
        <v>0</v>
      </c>
      <c r="H13" s="1308">
        <v>0</v>
      </c>
      <c r="I13" s="1308">
        <f t="shared" si="4"/>
        <v>0</v>
      </c>
      <c r="J13" s="1307">
        <f t="shared" si="1"/>
        <v>0</v>
      </c>
      <c r="K13" s="1307"/>
      <c r="L13" s="1309"/>
      <c r="M13" s="1308">
        <f t="shared" si="2"/>
        <v>0</v>
      </c>
      <c r="N13" s="1307">
        <f t="shared" si="3"/>
        <v>0</v>
      </c>
      <c r="O13" s="1308">
        <v>1</v>
      </c>
    </row>
    <row r="14" spans="1:15">
      <c r="A14" s="205" t="s">
        <v>595</v>
      </c>
      <c r="B14" s="201">
        <v>451</v>
      </c>
      <c r="C14" s="206" t="s">
        <v>596</v>
      </c>
      <c r="D14" s="202" t="s">
        <v>597</v>
      </c>
      <c r="E14" s="1305">
        <v>1559689.07</v>
      </c>
      <c r="F14" s="1306" t="s">
        <v>568</v>
      </c>
      <c r="G14" s="1307">
        <f t="shared" si="0"/>
        <v>1559689.07</v>
      </c>
      <c r="H14" s="1308">
        <v>0</v>
      </c>
      <c r="I14" s="1308">
        <f t="shared" si="4"/>
        <v>1559689.07</v>
      </c>
      <c r="J14" s="1307">
        <f t="shared" si="1"/>
        <v>0</v>
      </c>
      <c r="K14" s="1307"/>
      <c r="L14" s="1309"/>
      <c r="M14" s="1308">
        <f t="shared" si="2"/>
        <v>0</v>
      </c>
      <c r="N14" s="1307">
        <f t="shared" si="3"/>
        <v>0</v>
      </c>
      <c r="O14" s="1308">
        <v>1</v>
      </c>
    </row>
    <row r="15" spans="1:15">
      <c r="A15" s="205" t="s">
        <v>598</v>
      </c>
      <c r="B15" s="201">
        <v>451</v>
      </c>
      <c r="C15" s="206" t="s">
        <v>599</v>
      </c>
      <c r="D15" s="202" t="s">
        <v>600</v>
      </c>
      <c r="E15" s="1305">
        <v>5732.8</v>
      </c>
      <c r="F15" s="1306" t="s">
        <v>568</v>
      </c>
      <c r="G15" s="1307">
        <f t="shared" si="0"/>
        <v>5732.8</v>
      </c>
      <c r="H15" s="1308">
        <v>0</v>
      </c>
      <c r="I15" s="1308">
        <f t="shared" si="4"/>
        <v>5732.8</v>
      </c>
      <c r="J15" s="1307">
        <f t="shared" si="1"/>
        <v>0</v>
      </c>
      <c r="K15" s="1307"/>
      <c r="L15" s="1309"/>
      <c r="M15" s="1308">
        <f t="shared" si="2"/>
        <v>0</v>
      </c>
      <c r="N15" s="1307">
        <f t="shared" si="3"/>
        <v>0</v>
      </c>
      <c r="O15" s="1308">
        <v>1</v>
      </c>
    </row>
    <row r="16" spans="1:15">
      <c r="A16" s="205" t="s">
        <v>601</v>
      </c>
      <c r="B16" s="201">
        <v>451</v>
      </c>
      <c r="C16" s="206" t="s">
        <v>602</v>
      </c>
      <c r="D16" s="202" t="s">
        <v>603</v>
      </c>
      <c r="E16" s="1305">
        <v>-140.24</v>
      </c>
      <c r="F16" s="1306" t="s">
        <v>568</v>
      </c>
      <c r="G16" s="1307">
        <f t="shared" si="0"/>
        <v>-140.24</v>
      </c>
      <c r="H16" s="1308">
        <v>0</v>
      </c>
      <c r="I16" s="1308">
        <f t="shared" si="4"/>
        <v>-140.24</v>
      </c>
      <c r="J16" s="1307">
        <f t="shared" si="1"/>
        <v>0</v>
      </c>
      <c r="K16" s="1307"/>
      <c r="L16" s="1309"/>
      <c r="M16" s="1308">
        <f t="shared" si="2"/>
        <v>0</v>
      </c>
      <c r="N16" s="1307">
        <f t="shared" si="3"/>
        <v>0</v>
      </c>
      <c r="O16" s="1308">
        <v>1</v>
      </c>
    </row>
    <row r="17" spans="1:15">
      <c r="A17" s="205" t="s">
        <v>604</v>
      </c>
      <c r="B17" s="201">
        <v>451</v>
      </c>
      <c r="C17" s="206" t="s">
        <v>605</v>
      </c>
      <c r="D17" s="202" t="s">
        <v>606</v>
      </c>
      <c r="E17" s="1305">
        <v>25</v>
      </c>
      <c r="F17" s="1306" t="s">
        <v>568</v>
      </c>
      <c r="G17" s="1307">
        <f t="shared" si="0"/>
        <v>25</v>
      </c>
      <c r="H17" s="1308">
        <v>0</v>
      </c>
      <c r="I17" s="1308">
        <f t="shared" si="4"/>
        <v>25</v>
      </c>
      <c r="J17" s="1307">
        <f t="shared" si="1"/>
        <v>0</v>
      </c>
      <c r="K17" s="1307"/>
      <c r="L17" s="1309"/>
      <c r="M17" s="1308">
        <f t="shared" si="2"/>
        <v>0</v>
      </c>
      <c r="N17" s="1307">
        <f t="shared" si="3"/>
        <v>0</v>
      </c>
      <c r="O17" s="1308">
        <v>1</v>
      </c>
    </row>
    <row r="18" spans="1:15">
      <c r="A18" s="205" t="s">
        <v>607</v>
      </c>
      <c r="B18" s="201">
        <v>451</v>
      </c>
      <c r="C18" s="206" t="s">
        <v>608</v>
      </c>
      <c r="D18" s="202" t="s">
        <v>609</v>
      </c>
      <c r="E18" s="1305">
        <v>-117.18</v>
      </c>
      <c r="F18" s="1306" t="s">
        <v>569</v>
      </c>
      <c r="G18" s="1307">
        <f t="shared" si="0"/>
        <v>0</v>
      </c>
      <c r="H18" s="1308">
        <v>0</v>
      </c>
      <c r="I18" s="1308">
        <f t="shared" si="4"/>
        <v>0</v>
      </c>
      <c r="J18" s="1307">
        <f>IF(F18=$J$2,E18,0)</f>
        <v>-117.18</v>
      </c>
      <c r="K18" s="1310" t="s">
        <v>610</v>
      </c>
      <c r="L18" s="1309">
        <v>0</v>
      </c>
      <c r="M18" s="1308">
        <f t="shared" ref="M18:M30" si="5">J18-L18</f>
        <v>-117.18</v>
      </c>
      <c r="N18" s="1307">
        <f t="shared" si="3"/>
        <v>0</v>
      </c>
      <c r="O18" s="1308">
        <v>2</v>
      </c>
    </row>
    <row r="19" spans="1:15">
      <c r="A19" s="205" t="s">
        <v>611</v>
      </c>
      <c r="B19" s="201">
        <v>451</v>
      </c>
      <c r="C19" s="206" t="s">
        <v>612</v>
      </c>
      <c r="D19" s="202" t="s">
        <v>613</v>
      </c>
      <c r="E19" s="1305">
        <v>499047.69</v>
      </c>
      <c r="F19" s="1306" t="s">
        <v>570</v>
      </c>
      <c r="G19" s="1307">
        <f>IF(F19=$G$2,E19,0)</f>
        <v>0</v>
      </c>
      <c r="H19" s="1308">
        <v>0</v>
      </c>
      <c r="I19" s="1308">
        <f t="shared" si="4"/>
        <v>0</v>
      </c>
      <c r="J19" s="1307">
        <f>IF(F19=$J$2,E19,0)</f>
        <v>0</v>
      </c>
      <c r="K19" s="1307"/>
      <c r="L19" s="1309"/>
      <c r="M19" s="1308">
        <f t="shared" si="5"/>
        <v>0</v>
      </c>
      <c r="N19" s="1307">
        <f t="shared" ref="N19:N30" si="6">IF(F19=$N$2,E19,0)</f>
        <v>499047.69</v>
      </c>
      <c r="O19" s="1308">
        <v>6</v>
      </c>
    </row>
    <row r="20" spans="1:15">
      <c r="A20" s="200" t="s">
        <v>2046</v>
      </c>
      <c r="B20" s="201">
        <v>451</v>
      </c>
      <c r="C20" s="201">
        <v>4182120</v>
      </c>
      <c r="D20" s="218" t="s">
        <v>2047</v>
      </c>
      <c r="E20" s="1305"/>
      <c r="F20" s="1306" t="s">
        <v>568</v>
      </c>
      <c r="G20" s="1307">
        <f t="shared" si="0"/>
        <v>0</v>
      </c>
      <c r="H20" s="1308">
        <v>0</v>
      </c>
      <c r="I20" s="1308">
        <f t="shared" si="4"/>
        <v>0</v>
      </c>
      <c r="J20" s="1307">
        <f t="shared" si="1"/>
        <v>0</v>
      </c>
      <c r="K20" s="1307"/>
      <c r="L20" s="1309"/>
      <c r="M20" s="1308">
        <f t="shared" si="5"/>
        <v>0</v>
      </c>
      <c r="N20" s="1307">
        <f t="shared" si="6"/>
        <v>0</v>
      </c>
      <c r="O20" s="1308">
        <v>1</v>
      </c>
    </row>
    <row r="21" spans="1:15">
      <c r="A21" s="200" t="s">
        <v>2048</v>
      </c>
      <c r="B21" s="201">
        <v>451</v>
      </c>
      <c r="C21" s="201">
        <v>4192152</v>
      </c>
      <c r="D21" s="218" t="s">
        <v>2049</v>
      </c>
      <c r="E21" s="1305">
        <v>1750</v>
      </c>
      <c r="F21" s="1306" t="s">
        <v>570</v>
      </c>
      <c r="G21" s="1307">
        <f t="shared" ref="G21:G30" si="7">IF(F21=$G$2,E21,0)</f>
        <v>0</v>
      </c>
      <c r="H21" s="1308">
        <v>0</v>
      </c>
      <c r="I21" s="1308">
        <f t="shared" ref="I21:I27" si="8">G21-H21</f>
        <v>0</v>
      </c>
      <c r="J21" s="1307">
        <f t="shared" ref="J21:J30" si="9">IF(F21=$J$2,E21,0)</f>
        <v>0</v>
      </c>
      <c r="K21" s="1307"/>
      <c r="L21" s="1309"/>
      <c r="M21" s="1308">
        <f t="shared" si="5"/>
        <v>0</v>
      </c>
      <c r="N21" s="1307">
        <f t="shared" si="6"/>
        <v>1750</v>
      </c>
      <c r="O21" s="1308">
        <v>1</v>
      </c>
    </row>
    <row r="22" spans="1:15">
      <c r="A22" s="200" t="s">
        <v>2050</v>
      </c>
      <c r="B22" s="201">
        <v>451</v>
      </c>
      <c r="C22" s="201">
        <v>4192155</v>
      </c>
      <c r="D22" s="218" t="s">
        <v>2051</v>
      </c>
      <c r="E22" s="1305">
        <v>31720</v>
      </c>
      <c r="F22" s="1306" t="s">
        <v>570</v>
      </c>
      <c r="G22" s="1307">
        <f t="shared" si="7"/>
        <v>0</v>
      </c>
      <c r="H22" s="1308">
        <v>0</v>
      </c>
      <c r="I22" s="1308">
        <f t="shared" si="8"/>
        <v>0</v>
      </c>
      <c r="J22" s="1307">
        <f t="shared" si="9"/>
        <v>0</v>
      </c>
      <c r="K22" s="1307"/>
      <c r="L22" s="1309"/>
      <c r="M22" s="1308">
        <f t="shared" si="5"/>
        <v>0</v>
      </c>
      <c r="N22" s="1307">
        <f t="shared" si="6"/>
        <v>31720</v>
      </c>
      <c r="O22" s="1308">
        <v>1</v>
      </c>
    </row>
    <row r="23" spans="1:15">
      <c r="A23" s="200" t="s">
        <v>2052</v>
      </c>
      <c r="B23" s="201">
        <v>451</v>
      </c>
      <c r="C23" s="201">
        <v>4192158</v>
      </c>
      <c r="D23" s="218" t="s">
        <v>2053</v>
      </c>
      <c r="E23" s="1305">
        <v>47475</v>
      </c>
      <c r="F23" s="1306" t="s">
        <v>570</v>
      </c>
      <c r="G23" s="1307">
        <f t="shared" si="7"/>
        <v>0</v>
      </c>
      <c r="H23" s="1308">
        <v>0</v>
      </c>
      <c r="I23" s="1308">
        <f t="shared" si="8"/>
        <v>0</v>
      </c>
      <c r="J23" s="1307">
        <f t="shared" si="9"/>
        <v>0</v>
      </c>
      <c r="K23" s="1307"/>
      <c r="L23" s="1309"/>
      <c r="M23" s="1308">
        <f t="shared" si="5"/>
        <v>0</v>
      </c>
      <c r="N23" s="1307">
        <f t="shared" si="6"/>
        <v>47475</v>
      </c>
      <c r="O23" s="1308">
        <v>1</v>
      </c>
    </row>
    <row r="24" spans="1:15">
      <c r="A24" s="200" t="s">
        <v>2054</v>
      </c>
      <c r="B24" s="201">
        <v>451</v>
      </c>
      <c r="C24" s="201">
        <v>4192160</v>
      </c>
      <c r="D24" s="218" t="s">
        <v>2055</v>
      </c>
      <c r="E24" s="1305">
        <v>187720</v>
      </c>
      <c r="F24" s="1306" t="s">
        <v>570</v>
      </c>
      <c r="G24" s="1307">
        <f t="shared" si="7"/>
        <v>0</v>
      </c>
      <c r="H24" s="1308">
        <v>0</v>
      </c>
      <c r="I24" s="1308">
        <f t="shared" si="8"/>
        <v>0</v>
      </c>
      <c r="J24" s="1307">
        <f t="shared" si="9"/>
        <v>0</v>
      </c>
      <c r="K24" s="1307"/>
      <c r="L24" s="1309"/>
      <c r="M24" s="1308">
        <f t="shared" si="5"/>
        <v>0</v>
      </c>
      <c r="N24" s="1307">
        <f t="shared" si="6"/>
        <v>187720</v>
      </c>
      <c r="O24" s="1308">
        <v>1</v>
      </c>
    </row>
    <row r="25" spans="1:15" s="1048" customFormat="1">
      <c r="A25" s="200" t="s">
        <v>2173</v>
      </c>
      <c r="B25" s="201">
        <v>451</v>
      </c>
      <c r="C25" s="201">
        <v>4192135</v>
      </c>
      <c r="D25" s="1067" t="s">
        <v>2174</v>
      </c>
      <c r="E25" s="1305">
        <v>5612155.6399999997</v>
      </c>
      <c r="F25" s="1311" t="s">
        <v>568</v>
      </c>
      <c r="G25" s="1307">
        <f t="shared" si="7"/>
        <v>5612155.6399999997</v>
      </c>
      <c r="H25" s="1308">
        <v>0</v>
      </c>
      <c r="I25" s="1308">
        <f t="shared" si="8"/>
        <v>5612155.6399999997</v>
      </c>
      <c r="J25" s="1307">
        <f t="shared" si="9"/>
        <v>0</v>
      </c>
      <c r="K25" s="1307"/>
      <c r="L25" s="1309"/>
      <c r="M25" s="1308">
        <f t="shared" si="5"/>
        <v>0</v>
      </c>
      <c r="N25" s="1307">
        <f t="shared" si="6"/>
        <v>0</v>
      </c>
      <c r="O25" s="1308">
        <v>1</v>
      </c>
    </row>
    <row r="26" spans="1:15" s="1048" customFormat="1">
      <c r="A26" s="200" t="s">
        <v>2175</v>
      </c>
      <c r="B26" s="201">
        <v>451</v>
      </c>
      <c r="C26" s="201">
        <v>4192145</v>
      </c>
      <c r="D26" s="1067" t="s">
        <v>2176</v>
      </c>
      <c r="E26" s="1305">
        <v>2115441</v>
      </c>
      <c r="F26" s="1311" t="s">
        <v>568</v>
      </c>
      <c r="G26" s="1307">
        <f t="shared" si="7"/>
        <v>2115441</v>
      </c>
      <c r="H26" s="1308">
        <v>0</v>
      </c>
      <c r="I26" s="1308">
        <f t="shared" si="8"/>
        <v>2115441</v>
      </c>
      <c r="J26" s="1307">
        <f t="shared" si="9"/>
        <v>0</v>
      </c>
      <c r="K26" s="1307"/>
      <c r="L26" s="1309"/>
      <c r="M26" s="1308">
        <f t="shared" si="5"/>
        <v>0</v>
      </c>
      <c r="N26" s="1307">
        <f t="shared" si="6"/>
        <v>0</v>
      </c>
      <c r="O26" s="1308">
        <v>1</v>
      </c>
    </row>
    <row r="27" spans="1:15" s="1048" customFormat="1">
      <c r="A27" s="200" t="s">
        <v>2177</v>
      </c>
      <c r="B27" s="201">
        <v>451</v>
      </c>
      <c r="C27" s="201">
        <v>4192150</v>
      </c>
      <c r="D27" s="1067" t="s">
        <v>2178</v>
      </c>
      <c r="E27" s="1305">
        <v>24083</v>
      </c>
      <c r="F27" s="1311" t="s">
        <v>568</v>
      </c>
      <c r="G27" s="1307">
        <f t="shared" si="7"/>
        <v>24083</v>
      </c>
      <c r="H27" s="1308">
        <v>0</v>
      </c>
      <c r="I27" s="1308">
        <f t="shared" si="8"/>
        <v>24083</v>
      </c>
      <c r="J27" s="1307">
        <f t="shared" si="9"/>
        <v>0</v>
      </c>
      <c r="K27" s="1307"/>
      <c r="L27" s="1309"/>
      <c r="M27" s="1308">
        <f t="shared" si="5"/>
        <v>0</v>
      </c>
      <c r="N27" s="1307">
        <f t="shared" si="6"/>
        <v>0</v>
      </c>
      <c r="O27" s="1308">
        <v>1</v>
      </c>
    </row>
    <row r="28" spans="1:15">
      <c r="A28" s="971" t="s">
        <v>2507</v>
      </c>
      <c r="B28" s="201">
        <v>451</v>
      </c>
      <c r="C28" s="201" t="s">
        <v>2754</v>
      </c>
      <c r="D28" s="1313" t="s">
        <v>2468</v>
      </c>
      <c r="E28" s="1306">
        <v>3922175</v>
      </c>
      <c r="F28" s="1306" t="s">
        <v>568</v>
      </c>
      <c r="G28" s="1307">
        <f t="shared" si="7"/>
        <v>3922175</v>
      </c>
      <c r="H28" s="1308">
        <v>0</v>
      </c>
      <c r="I28" s="1308">
        <f>G28-H28</f>
        <v>3922175</v>
      </c>
      <c r="J28" s="1307">
        <f t="shared" si="9"/>
        <v>0</v>
      </c>
      <c r="K28" s="1307"/>
      <c r="L28" s="1312"/>
      <c r="M28" s="1308">
        <f t="shared" si="5"/>
        <v>0</v>
      </c>
      <c r="N28" s="1307">
        <f t="shared" si="6"/>
        <v>0</v>
      </c>
      <c r="O28" s="1308">
        <v>1</v>
      </c>
    </row>
    <row r="29" spans="1:15" s="1048" customFormat="1">
      <c r="A29" s="971" t="s">
        <v>2508</v>
      </c>
      <c r="B29" s="201">
        <v>451</v>
      </c>
      <c r="C29" s="201" t="s">
        <v>2755</v>
      </c>
      <c r="D29" s="1313" t="s">
        <v>2756</v>
      </c>
      <c r="E29" s="1306">
        <v>-864960</v>
      </c>
      <c r="F29" s="1306" t="s">
        <v>568</v>
      </c>
      <c r="G29" s="1307">
        <f t="shared" si="7"/>
        <v>-864960</v>
      </c>
      <c r="H29" s="1308">
        <v>0</v>
      </c>
      <c r="I29" s="1308">
        <f>G29-H29</f>
        <v>-864960</v>
      </c>
      <c r="J29" s="1307">
        <f t="shared" si="9"/>
        <v>0</v>
      </c>
      <c r="K29" s="1307"/>
      <c r="L29" s="1312"/>
      <c r="M29" s="1308">
        <f t="shared" si="5"/>
        <v>0</v>
      </c>
      <c r="N29" s="1307">
        <f t="shared" si="6"/>
        <v>0</v>
      </c>
      <c r="O29" s="1308">
        <v>1</v>
      </c>
    </row>
    <row r="30" spans="1:15" s="1048" customFormat="1">
      <c r="A30" s="1196" t="s">
        <v>2751</v>
      </c>
      <c r="B30" s="1326">
        <v>451</v>
      </c>
      <c r="C30" s="1326" t="s">
        <v>2752</v>
      </c>
      <c r="D30" s="1327" t="s">
        <v>2753</v>
      </c>
      <c r="E30" s="1328">
        <v>800</v>
      </c>
      <c r="F30" s="1328" t="s">
        <v>568</v>
      </c>
      <c r="G30" s="1305">
        <f t="shared" si="7"/>
        <v>800</v>
      </c>
      <c r="H30" s="1309">
        <v>0</v>
      </c>
      <c r="I30" s="1309">
        <f t="shared" ref="I30" si="10">G30-H30</f>
        <v>800</v>
      </c>
      <c r="J30" s="1305">
        <f t="shared" si="9"/>
        <v>0</v>
      </c>
      <c r="K30" s="1305"/>
      <c r="L30" s="1309"/>
      <c r="M30" s="1309">
        <f t="shared" si="5"/>
        <v>0</v>
      </c>
      <c r="N30" s="1305">
        <f t="shared" si="6"/>
        <v>0</v>
      </c>
      <c r="O30" s="1329">
        <v>1</v>
      </c>
    </row>
    <row r="31" spans="1:15">
      <c r="A31" s="331"/>
      <c r="B31" s="327"/>
      <c r="C31" s="326"/>
      <c r="D31" s="737"/>
      <c r="E31" s="1303"/>
      <c r="F31" s="1303"/>
      <c r="G31" s="1303"/>
      <c r="H31" s="1304"/>
      <c r="I31" s="1304"/>
      <c r="J31" s="1303"/>
      <c r="K31" s="1303"/>
      <c r="L31" s="1304"/>
      <c r="M31" s="1304"/>
      <c r="N31" s="1303"/>
      <c r="O31" s="1304"/>
    </row>
    <row r="32" spans="1:15" ht="13">
      <c r="A32" s="205">
        <v>5</v>
      </c>
      <c r="B32" s="1410" t="s">
        <v>614</v>
      </c>
      <c r="C32" s="1411"/>
      <c r="D32" s="1412"/>
      <c r="E32" s="1314">
        <f>SUM(E11:E31)</f>
        <v>13363900.43</v>
      </c>
      <c r="F32" s="1315"/>
      <c r="G32" s="1314">
        <f>SUM(G11:G31)</f>
        <v>12596304.92</v>
      </c>
      <c r="H32" s="1316">
        <f>SUM(H11:H31)</f>
        <v>0</v>
      </c>
      <c r="I32" s="1314">
        <f>SUM(I11:I31)</f>
        <v>12596304.92</v>
      </c>
      <c r="J32" s="1314">
        <f>SUM(J11:J31)</f>
        <v>-117.18</v>
      </c>
      <c r="K32" s="1315"/>
      <c r="L32" s="1314">
        <f>SUM(L11:L31)</f>
        <v>0</v>
      </c>
      <c r="M32" s="1314">
        <f>SUM(M11:M31)</f>
        <v>-117.18</v>
      </c>
      <c r="N32" s="1314">
        <f>SUM(N11:N31)</f>
        <v>767712.69</v>
      </c>
      <c r="O32" s="1308"/>
    </row>
    <row r="33" spans="1:15" ht="25.5" customHeight="1">
      <c r="A33" s="205">
        <v>6</v>
      </c>
      <c r="B33" s="1432" t="s">
        <v>1229</v>
      </c>
      <c r="C33" s="1433"/>
      <c r="D33" s="1434"/>
      <c r="E33" s="1195">
        <v>13363900</v>
      </c>
      <c r="F33" s="309"/>
      <c r="G33" s="296"/>
      <c r="H33" s="212"/>
      <c r="I33" s="212"/>
      <c r="J33" s="296"/>
      <c r="K33" s="309"/>
      <c r="L33" s="296"/>
      <c r="M33" s="296"/>
      <c r="N33" s="309"/>
    </row>
    <row r="34" spans="1:15" ht="13">
      <c r="A34" s="214"/>
      <c r="B34" s="209"/>
      <c r="C34" s="210"/>
      <c r="D34" s="211"/>
      <c r="E34" s="296"/>
      <c r="F34" s="296"/>
      <c r="G34" s="296"/>
      <c r="H34" s="212"/>
      <c r="I34" s="212"/>
      <c r="J34" s="296"/>
      <c r="K34" s="309"/>
      <c r="L34" s="296"/>
      <c r="M34" s="296"/>
      <c r="N34" s="296"/>
    </row>
    <row r="35" spans="1:15">
      <c r="A35" s="331"/>
      <c r="B35" s="327"/>
      <c r="C35" s="326"/>
      <c r="D35" s="328"/>
      <c r="E35" s="301"/>
      <c r="F35" s="301"/>
      <c r="G35" s="305"/>
      <c r="H35" s="302"/>
      <c r="I35" s="303"/>
      <c r="J35" s="301"/>
      <c r="K35" s="301"/>
      <c r="L35" s="303"/>
      <c r="M35" s="303"/>
      <c r="N35" s="301"/>
      <c r="O35" s="302"/>
    </row>
    <row r="36" spans="1:15">
      <c r="A36" s="331"/>
      <c r="B36" s="327"/>
      <c r="C36" s="326"/>
      <c r="D36" s="328"/>
      <c r="E36" s="301"/>
      <c r="F36" s="301"/>
      <c r="G36" s="305"/>
      <c r="H36" s="302"/>
      <c r="I36" s="303"/>
      <c r="J36" s="301"/>
      <c r="K36" s="301"/>
      <c r="L36" s="303"/>
      <c r="M36" s="303"/>
      <c r="N36" s="301"/>
      <c r="O36" s="302"/>
    </row>
    <row r="37" spans="1:15" ht="13">
      <c r="A37" s="205">
        <v>8</v>
      </c>
      <c r="B37" s="1410" t="s">
        <v>615</v>
      </c>
      <c r="C37" s="1411"/>
      <c r="D37" s="1412"/>
      <c r="E37" s="310">
        <f>SUM(E35:E36)</f>
        <v>0</v>
      </c>
      <c r="F37" s="319"/>
      <c r="G37" s="310">
        <f>SUM(G35:G36)</f>
        <v>0</v>
      </c>
      <c r="H37" s="194">
        <f>SUM(H35:H36)</f>
        <v>0</v>
      </c>
      <c r="I37" s="310">
        <f>SUM(I35:I36)</f>
        <v>0</v>
      </c>
      <c r="J37" s="310">
        <f>SUM(J35:J36)</f>
        <v>0</v>
      </c>
      <c r="K37" s="319"/>
      <c r="L37" s="310">
        <f>SUM(L35:L36)</f>
        <v>0</v>
      </c>
      <c r="M37" s="310">
        <f>SUM(M35:M36)</f>
        <v>0</v>
      </c>
      <c r="N37" s="310">
        <f>SUM(N35:N36)</f>
        <v>0</v>
      </c>
      <c r="O37" s="194"/>
    </row>
    <row r="38" spans="1:15" ht="25.5" customHeight="1">
      <c r="A38" s="205">
        <v>9</v>
      </c>
      <c r="B38" s="1435" t="s">
        <v>1230</v>
      </c>
      <c r="C38" s="1426"/>
      <c r="D38" s="1426"/>
      <c r="E38" s="322">
        <v>0</v>
      </c>
      <c r="F38" s="309"/>
      <c r="G38" s="296"/>
      <c r="H38" s="212"/>
      <c r="I38" s="216"/>
      <c r="J38" s="296"/>
      <c r="K38" s="309"/>
      <c r="L38" s="296"/>
      <c r="M38" s="296"/>
      <c r="N38" s="296"/>
      <c r="O38" s="192"/>
    </row>
    <row r="39" spans="1:15" ht="13">
      <c r="A39" s="208"/>
      <c r="B39" s="209"/>
      <c r="C39" s="210"/>
      <c r="D39" s="211"/>
      <c r="E39" s="296"/>
      <c r="F39" s="296"/>
      <c r="G39" s="296"/>
      <c r="H39" s="212"/>
      <c r="I39" s="216"/>
      <c r="J39" s="296"/>
      <c r="K39" s="309"/>
      <c r="L39" s="296"/>
      <c r="M39" s="296"/>
      <c r="N39" s="296"/>
      <c r="O39" s="192"/>
    </row>
    <row r="40" spans="1:15">
      <c r="A40" s="205" t="s">
        <v>616</v>
      </c>
      <c r="B40" s="201">
        <v>454</v>
      </c>
      <c r="C40" s="202" t="s">
        <v>620</v>
      </c>
      <c r="D40" s="202" t="s">
        <v>621</v>
      </c>
      <c r="E40" s="1069">
        <v>651462.25</v>
      </c>
      <c r="F40" s="301" t="s">
        <v>568</v>
      </c>
      <c r="G40" s="297">
        <f>IF(F40=$G$2,E40,0)</f>
        <v>651462.25</v>
      </c>
      <c r="H40" s="204">
        <v>0</v>
      </c>
      <c r="I40" s="204">
        <f t="shared" ref="I40:I48" si="11">G40-H40</f>
        <v>651462.25</v>
      </c>
      <c r="J40" s="297">
        <f>IF(F40=$J$2,E40,0)</f>
        <v>0</v>
      </c>
      <c r="K40" s="297"/>
      <c r="L40" s="738"/>
      <c r="M40" s="204">
        <f t="shared" ref="M40:M46" si="12">J40-L40</f>
        <v>0</v>
      </c>
      <c r="N40" s="297">
        <f>IF(F40=$N$2,E40,0)</f>
        <v>0</v>
      </c>
      <c r="O40" s="203">
        <v>4</v>
      </c>
    </row>
    <row r="41" spans="1:15">
      <c r="A41" s="205" t="s">
        <v>617</v>
      </c>
      <c r="B41" s="201">
        <v>454</v>
      </c>
      <c r="C41" s="206" t="s">
        <v>623</v>
      </c>
      <c r="D41" s="202" t="s">
        <v>624</v>
      </c>
      <c r="E41" s="1069">
        <v>5202845.7699999996</v>
      </c>
      <c r="F41" s="301" t="s">
        <v>568</v>
      </c>
      <c r="G41" s="297">
        <f>IF(F41=$G$2,E41,0)</f>
        <v>5202845.7699999996</v>
      </c>
      <c r="H41" s="204">
        <v>0</v>
      </c>
      <c r="I41" s="204">
        <f t="shared" si="11"/>
        <v>5202845.7699999996</v>
      </c>
      <c r="J41" s="297">
        <f t="shared" ref="J41:J52" si="13">IF(F41=$J$2,E41,0)</f>
        <v>0</v>
      </c>
      <c r="K41" s="297"/>
      <c r="L41" s="738"/>
      <c r="M41" s="204">
        <f t="shared" si="12"/>
        <v>0</v>
      </c>
      <c r="N41" s="297">
        <f>IF(F41=$N$2,E41,0)</f>
        <v>0</v>
      </c>
      <c r="O41" s="203">
        <v>4</v>
      </c>
    </row>
    <row r="42" spans="1:15">
      <c r="A42" s="205" t="s">
        <v>618</v>
      </c>
      <c r="B42" s="201">
        <v>454</v>
      </c>
      <c r="C42" s="206" t="s">
        <v>626</v>
      </c>
      <c r="D42" s="202" t="s">
        <v>627</v>
      </c>
      <c r="E42" s="1069">
        <v>536412.22</v>
      </c>
      <c r="F42" s="301" t="s">
        <v>568</v>
      </c>
      <c r="G42" s="297">
        <f>IF(F42=$G$2,E42,0)</f>
        <v>536412.22</v>
      </c>
      <c r="H42" s="204">
        <v>0</v>
      </c>
      <c r="I42" s="204">
        <f t="shared" si="11"/>
        <v>536412.22</v>
      </c>
      <c r="J42" s="297">
        <f t="shared" si="13"/>
        <v>0</v>
      </c>
      <c r="K42" s="297"/>
      <c r="L42" s="738"/>
      <c r="M42" s="204">
        <f t="shared" si="12"/>
        <v>0</v>
      </c>
      <c r="N42" s="297">
        <f>IF(F42=$N$2,E42,0)</f>
        <v>0</v>
      </c>
      <c r="O42" s="203">
        <v>4</v>
      </c>
    </row>
    <row r="43" spans="1:15">
      <c r="A43" s="1217" t="s">
        <v>619</v>
      </c>
      <c r="B43" s="201">
        <v>454</v>
      </c>
      <c r="C43" s="217">
        <v>4184120</v>
      </c>
      <c r="D43" s="202" t="s">
        <v>1374</v>
      </c>
      <c r="E43" s="1069">
        <v>1154500</v>
      </c>
      <c r="F43" s="301" t="s">
        <v>568</v>
      </c>
      <c r="G43" s="297">
        <f>IF(F43=$G$2,E43,0)</f>
        <v>1154500</v>
      </c>
      <c r="H43" s="204">
        <v>0</v>
      </c>
      <c r="I43" s="204">
        <f t="shared" si="11"/>
        <v>1154500</v>
      </c>
      <c r="J43" s="297">
        <f t="shared" si="13"/>
        <v>0</v>
      </c>
      <c r="K43" s="297"/>
      <c r="L43" s="738"/>
      <c r="M43" s="204">
        <f t="shared" si="12"/>
        <v>0</v>
      </c>
      <c r="N43" s="297">
        <f>IF(F43=$N$2,E43,0)</f>
        <v>0</v>
      </c>
      <c r="O43" s="203">
        <v>4</v>
      </c>
    </row>
    <row r="44" spans="1:15">
      <c r="A44" s="1216" t="s">
        <v>622</v>
      </c>
      <c r="B44" s="201">
        <v>454</v>
      </c>
      <c r="C44" s="206" t="s">
        <v>631</v>
      </c>
      <c r="D44" s="202" t="s">
        <v>632</v>
      </c>
      <c r="E44" s="1069">
        <v>264873.84999999998</v>
      </c>
      <c r="F44" s="301" t="s">
        <v>569</v>
      </c>
      <c r="G44" s="297">
        <f t="shared" ref="G44:G50" si="14">IF(F44=$G$2,E44,0)</f>
        <v>0</v>
      </c>
      <c r="H44" s="204">
        <v>0</v>
      </c>
      <c r="I44" s="204">
        <f t="shared" si="11"/>
        <v>0</v>
      </c>
      <c r="J44" s="297">
        <f t="shared" si="13"/>
        <v>264873.84999999998</v>
      </c>
      <c r="K44" s="336" t="s">
        <v>610</v>
      </c>
      <c r="L44" s="1070">
        <v>51713</v>
      </c>
      <c r="M44" s="204">
        <f t="shared" si="12"/>
        <v>213160.84999999998</v>
      </c>
      <c r="N44" s="297">
        <f>IF(F44=$N$2,E44,0)</f>
        <v>0</v>
      </c>
      <c r="O44" s="203">
        <v>2</v>
      </c>
    </row>
    <row r="45" spans="1:15">
      <c r="A45" s="205" t="s">
        <v>625</v>
      </c>
      <c r="B45" s="201">
        <v>454</v>
      </c>
      <c r="C45" s="206" t="s">
        <v>634</v>
      </c>
      <c r="D45" s="202" t="s">
        <v>635</v>
      </c>
      <c r="E45" s="1069">
        <v>35349</v>
      </c>
      <c r="F45" s="301" t="s">
        <v>569</v>
      </c>
      <c r="G45" s="297">
        <f t="shared" si="14"/>
        <v>0</v>
      </c>
      <c r="H45" s="204">
        <v>0</v>
      </c>
      <c r="I45" s="204">
        <f t="shared" si="11"/>
        <v>0</v>
      </c>
      <c r="J45" s="297">
        <f t="shared" si="13"/>
        <v>35349</v>
      </c>
      <c r="K45" s="336" t="s">
        <v>610</v>
      </c>
      <c r="L45" s="1070">
        <v>1626</v>
      </c>
      <c r="M45" s="204">
        <f t="shared" si="12"/>
        <v>33723</v>
      </c>
      <c r="N45" s="297">
        <f t="shared" ref="N45:N50" si="15">IF(F45=$N$2,E45,0)</f>
        <v>0</v>
      </c>
      <c r="O45" s="203">
        <v>2</v>
      </c>
    </row>
    <row r="46" spans="1:15">
      <c r="A46" s="205" t="s">
        <v>628</v>
      </c>
      <c r="B46" s="201">
        <v>454</v>
      </c>
      <c r="C46" s="206" t="s">
        <v>637</v>
      </c>
      <c r="D46" s="202" t="s">
        <v>638</v>
      </c>
      <c r="E46" s="1069"/>
      <c r="F46" s="301" t="s">
        <v>569</v>
      </c>
      <c r="G46" s="297">
        <f t="shared" si="14"/>
        <v>0</v>
      </c>
      <c r="H46" s="204">
        <v>0</v>
      </c>
      <c r="I46" s="204">
        <f t="shared" si="11"/>
        <v>0</v>
      </c>
      <c r="J46" s="297">
        <f t="shared" si="13"/>
        <v>0</v>
      </c>
      <c r="K46" s="336" t="s">
        <v>610</v>
      </c>
      <c r="L46" s="1070"/>
      <c r="M46" s="204">
        <f t="shared" si="12"/>
        <v>0</v>
      </c>
      <c r="N46" s="297">
        <f t="shared" si="15"/>
        <v>0</v>
      </c>
      <c r="O46" s="203">
        <v>2</v>
      </c>
    </row>
    <row r="47" spans="1:15">
      <c r="A47" s="205" t="s">
        <v>629</v>
      </c>
      <c r="B47" s="201">
        <v>454</v>
      </c>
      <c r="C47" s="217" t="s">
        <v>640</v>
      </c>
      <c r="D47" s="202" t="s">
        <v>641</v>
      </c>
      <c r="E47" s="1069">
        <v>22204.57</v>
      </c>
      <c r="F47" s="301" t="s">
        <v>569</v>
      </c>
      <c r="G47" s="297">
        <f t="shared" si="14"/>
        <v>0</v>
      </c>
      <c r="H47" s="204">
        <v>0</v>
      </c>
      <c r="I47" s="204">
        <f t="shared" si="11"/>
        <v>0</v>
      </c>
      <c r="J47" s="297">
        <f t="shared" si="13"/>
        <v>22204.57</v>
      </c>
      <c r="K47" s="336" t="s">
        <v>610</v>
      </c>
      <c r="L47" s="1070">
        <v>6751.2629146950003</v>
      </c>
      <c r="M47" s="204">
        <f t="shared" ref="M47:M65" si="16">J47-L47</f>
        <v>15453.307085304999</v>
      </c>
      <c r="N47" s="297">
        <f t="shared" si="15"/>
        <v>0</v>
      </c>
      <c r="O47" s="203">
        <v>2</v>
      </c>
    </row>
    <row r="48" spans="1:15">
      <c r="A48" s="205" t="s">
        <v>630</v>
      </c>
      <c r="B48" s="201">
        <v>454</v>
      </c>
      <c r="C48" s="202" t="s">
        <v>643</v>
      </c>
      <c r="D48" s="202" t="s">
        <v>1226</v>
      </c>
      <c r="E48" s="1069">
        <v>-117245.05</v>
      </c>
      <c r="F48" s="301" t="s">
        <v>568</v>
      </c>
      <c r="G48" s="297">
        <f>IF(F48=$G$2,E48,0)</f>
        <v>-117245.05</v>
      </c>
      <c r="H48" s="204">
        <v>0</v>
      </c>
      <c r="I48" s="204">
        <f t="shared" si="11"/>
        <v>-117245.05</v>
      </c>
      <c r="J48" s="297">
        <f>IF(F48=$J$2,E48,0)</f>
        <v>0</v>
      </c>
      <c r="K48" s="297"/>
      <c r="L48" s="738"/>
      <c r="M48" s="204">
        <f t="shared" si="16"/>
        <v>0</v>
      </c>
      <c r="N48" s="297">
        <f t="shared" si="15"/>
        <v>0</v>
      </c>
      <c r="O48" s="203">
        <v>4</v>
      </c>
    </row>
    <row r="49" spans="1:15">
      <c r="A49" s="205" t="s">
        <v>633</v>
      </c>
      <c r="B49" s="201">
        <v>454</v>
      </c>
      <c r="C49" s="206" t="s">
        <v>645</v>
      </c>
      <c r="D49" s="202" t="s">
        <v>646</v>
      </c>
      <c r="E49" s="1069">
        <v>50625.71</v>
      </c>
      <c r="F49" s="301" t="s">
        <v>570</v>
      </c>
      <c r="G49" s="297">
        <f>I49+H49</f>
        <v>3083.1057390000001</v>
      </c>
      <c r="H49" s="204">
        <f>E49*$D$253</f>
        <v>3083.1057390000001</v>
      </c>
      <c r="I49" s="204">
        <v>0</v>
      </c>
      <c r="J49" s="297">
        <f t="shared" si="13"/>
        <v>0</v>
      </c>
      <c r="K49" s="297"/>
      <c r="L49" s="738"/>
      <c r="M49" s="204">
        <f>J49-L49</f>
        <v>0</v>
      </c>
      <c r="N49" s="297">
        <f>IF(F49=$N$2,E49-H49,0)</f>
        <v>47542.604261</v>
      </c>
      <c r="O49" s="203" t="s">
        <v>647</v>
      </c>
    </row>
    <row r="50" spans="1:15">
      <c r="A50" s="205" t="s">
        <v>636</v>
      </c>
      <c r="B50" s="201">
        <v>454</v>
      </c>
      <c r="C50" s="206" t="s">
        <v>649</v>
      </c>
      <c r="D50" s="202" t="s">
        <v>650</v>
      </c>
      <c r="E50" s="1069"/>
      <c r="F50" s="301" t="s">
        <v>568</v>
      </c>
      <c r="G50" s="297">
        <f t="shared" si="14"/>
        <v>0</v>
      </c>
      <c r="H50" s="204">
        <f>E50*$D$253</f>
        <v>0</v>
      </c>
      <c r="I50" s="204">
        <f>G50-H50</f>
        <v>0</v>
      </c>
      <c r="J50" s="297">
        <f t="shared" si="13"/>
        <v>0</v>
      </c>
      <c r="K50" s="297"/>
      <c r="L50" s="738"/>
      <c r="M50" s="204">
        <f t="shared" si="16"/>
        <v>0</v>
      </c>
      <c r="N50" s="297">
        <f t="shared" si="15"/>
        <v>0</v>
      </c>
      <c r="O50" s="203">
        <v>7</v>
      </c>
    </row>
    <row r="51" spans="1:15">
      <c r="A51" s="205" t="s">
        <v>639</v>
      </c>
      <c r="B51" s="201">
        <v>454</v>
      </c>
      <c r="C51" s="202" t="s">
        <v>652</v>
      </c>
      <c r="D51" s="202" t="s">
        <v>653</v>
      </c>
      <c r="E51" s="1069">
        <v>1307368.8700000001</v>
      </c>
      <c r="F51" s="301" t="s">
        <v>570</v>
      </c>
      <c r="G51" s="297">
        <f>I51+H51</f>
        <v>79618.764183000007</v>
      </c>
      <c r="H51" s="204">
        <f>E51*$D$253</f>
        <v>79618.764183000007</v>
      </c>
      <c r="I51" s="204">
        <v>0</v>
      </c>
      <c r="J51" s="297">
        <f>IF(F51=$J$2,E51,0)</f>
        <v>0</v>
      </c>
      <c r="K51" s="297"/>
      <c r="L51" s="738"/>
      <c r="M51" s="204">
        <f>J51-L51</f>
        <v>0</v>
      </c>
      <c r="N51" s="297">
        <f>IF(F51=$N$2,E51-H51,0)</f>
        <v>1227750.1058170001</v>
      </c>
      <c r="O51" s="203" t="s">
        <v>647</v>
      </c>
    </row>
    <row r="52" spans="1:15">
      <c r="A52" s="205" t="s">
        <v>642</v>
      </c>
      <c r="B52" s="201">
        <v>454</v>
      </c>
      <c r="C52" s="206" t="s">
        <v>655</v>
      </c>
      <c r="D52" s="202" t="s">
        <v>656</v>
      </c>
      <c r="E52" s="1069"/>
      <c r="F52" s="301" t="s">
        <v>568</v>
      </c>
      <c r="G52" s="297">
        <f>I52+H52</f>
        <v>0</v>
      </c>
      <c r="H52" s="204">
        <f>E52*$D$247</f>
        <v>0</v>
      </c>
      <c r="I52" s="204">
        <v>0</v>
      </c>
      <c r="J52" s="297">
        <f t="shared" si="13"/>
        <v>0</v>
      </c>
      <c r="K52" s="297"/>
      <c r="L52" s="738"/>
      <c r="M52" s="204">
        <f t="shared" si="16"/>
        <v>0</v>
      </c>
      <c r="N52" s="297">
        <f t="shared" ref="N52:N63" si="17">IF(F52=$N$2,E52,0)</f>
        <v>0</v>
      </c>
      <c r="O52" s="203">
        <v>7</v>
      </c>
    </row>
    <row r="53" spans="1:15">
      <c r="A53" s="205" t="s">
        <v>644</v>
      </c>
      <c r="B53" s="201">
        <v>454</v>
      </c>
      <c r="C53" s="206" t="s">
        <v>658</v>
      </c>
      <c r="D53" s="202" t="s">
        <v>659</v>
      </c>
      <c r="E53" s="1069"/>
      <c r="F53" s="301" t="s">
        <v>568</v>
      </c>
      <c r="G53" s="297">
        <f t="shared" ref="G53:G63" si="18">IF(F53=$G$2,E53,0)</f>
        <v>0</v>
      </c>
      <c r="H53" s="204">
        <v>0</v>
      </c>
      <c r="I53" s="204">
        <f t="shared" ref="I53:I63" si="19">G53-H53</f>
        <v>0</v>
      </c>
      <c r="J53" s="297">
        <f t="shared" ref="J53:J64" si="20">IF(F53=$J$2,E53,0)</f>
        <v>0</v>
      </c>
      <c r="K53" s="297"/>
      <c r="L53" s="738"/>
      <c r="M53" s="204">
        <f t="shared" si="16"/>
        <v>0</v>
      </c>
      <c r="N53" s="297">
        <f t="shared" si="17"/>
        <v>0</v>
      </c>
      <c r="O53" s="203">
        <v>1</v>
      </c>
    </row>
    <row r="54" spans="1:15">
      <c r="A54" s="205" t="s">
        <v>648</v>
      </c>
      <c r="B54" s="201">
        <v>454</v>
      </c>
      <c r="C54" s="206" t="s">
        <v>661</v>
      </c>
      <c r="D54" s="202" t="s">
        <v>662</v>
      </c>
      <c r="E54" s="1069">
        <v>8381391.7400000002</v>
      </c>
      <c r="F54" s="301" t="s">
        <v>568</v>
      </c>
      <c r="G54" s="297">
        <f t="shared" si="18"/>
        <v>8381391.7400000002</v>
      </c>
      <c r="H54" s="204">
        <v>0</v>
      </c>
      <c r="I54" s="204">
        <f t="shared" si="19"/>
        <v>8381391.7400000002</v>
      </c>
      <c r="J54" s="297">
        <f t="shared" si="20"/>
        <v>0</v>
      </c>
      <c r="K54" s="297"/>
      <c r="L54" s="738"/>
      <c r="M54" s="204">
        <f t="shared" si="16"/>
        <v>0</v>
      </c>
      <c r="N54" s="297">
        <f t="shared" si="17"/>
        <v>0</v>
      </c>
      <c r="O54" s="203">
        <v>4</v>
      </c>
    </row>
    <row r="55" spans="1:15">
      <c r="A55" s="205" t="s">
        <v>651</v>
      </c>
      <c r="B55" s="201">
        <v>454</v>
      </c>
      <c r="C55" s="206" t="s">
        <v>664</v>
      </c>
      <c r="D55" s="202" t="s">
        <v>665</v>
      </c>
      <c r="E55" s="1069">
        <v>621993.69999999995</v>
      </c>
      <c r="F55" s="301" t="s">
        <v>568</v>
      </c>
      <c r="G55" s="297">
        <f t="shared" si="18"/>
        <v>621993.69999999995</v>
      </c>
      <c r="H55" s="204">
        <v>0</v>
      </c>
      <c r="I55" s="204">
        <f t="shared" si="19"/>
        <v>621993.69999999995</v>
      </c>
      <c r="J55" s="297">
        <f t="shared" si="20"/>
        <v>0</v>
      </c>
      <c r="K55" s="297"/>
      <c r="L55" s="738"/>
      <c r="M55" s="204">
        <f t="shared" si="16"/>
        <v>0</v>
      </c>
      <c r="N55" s="297">
        <f t="shared" si="17"/>
        <v>0</v>
      </c>
      <c r="O55" s="203">
        <v>4</v>
      </c>
    </row>
    <row r="56" spans="1:15">
      <c r="A56" s="205" t="s">
        <v>654</v>
      </c>
      <c r="B56" s="201">
        <v>454</v>
      </c>
      <c r="C56" s="206" t="s">
        <v>667</v>
      </c>
      <c r="D56" s="202" t="s">
        <v>668</v>
      </c>
      <c r="E56" s="1069">
        <v>21507259.829999998</v>
      </c>
      <c r="F56" s="301" t="s">
        <v>568</v>
      </c>
      <c r="G56" s="297">
        <f t="shared" si="18"/>
        <v>21507259.829999998</v>
      </c>
      <c r="H56" s="204">
        <v>0</v>
      </c>
      <c r="I56" s="204">
        <f t="shared" si="19"/>
        <v>21507259.829999998</v>
      </c>
      <c r="J56" s="297">
        <f t="shared" si="20"/>
        <v>0</v>
      </c>
      <c r="K56" s="297"/>
      <c r="L56" s="738"/>
      <c r="M56" s="204">
        <f t="shared" si="16"/>
        <v>0</v>
      </c>
      <c r="N56" s="297">
        <f t="shared" si="17"/>
        <v>0</v>
      </c>
      <c r="O56" s="203">
        <v>4</v>
      </c>
    </row>
    <row r="57" spans="1:15">
      <c r="A57" s="205" t="s">
        <v>657</v>
      </c>
      <c r="B57" s="201">
        <v>454</v>
      </c>
      <c r="C57" s="206" t="s">
        <v>670</v>
      </c>
      <c r="D57" s="202" t="s">
        <v>671</v>
      </c>
      <c r="E57" s="1069">
        <v>16286838.720000001</v>
      </c>
      <c r="F57" s="301" t="s">
        <v>568</v>
      </c>
      <c r="G57" s="297">
        <f t="shared" si="18"/>
        <v>16286838.720000001</v>
      </c>
      <c r="H57" s="1309">
        <v>3028729.4224399999</v>
      </c>
      <c r="I57" s="204">
        <f t="shared" si="19"/>
        <v>13258109.297560001</v>
      </c>
      <c r="J57" s="297">
        <f t="shared" si="20"/>
        <v>0</v>
      </c>
      <c r="K57" s="297"/>
      <c r="L57" s="738"/>
      <c r="M57" s="204">
        <f t="shared" si="16"/>
        <v>0</v>
      </c>
      <c r="N57" s="297">
        <f t="shared" si="17"/>
        <v>0</v>
      </c>
      <c r="O57" s="203">
        <v>8</v>
      </c>
    </row>
    <row r="58" spans="1:15">
      <c r="A58" s="205" t="s">
        <v>660</v>
      </c>
      <c r="B58" s="201">
        <v>454</v>
      </c>
      <c r="C58" s="202" t="s">
        <v>673</v>
      </c>
      <c r="D58" s="202" t="s">
        <v>674</v>
      </c>
      <c r="E58" s="1069">
        <v>22043788.66</v>
      </c>
      <c r="F58" s="301" t="s">
        <v>569</v>
      </c>
      <c r="G58" s="297">
        <f t="shared" si="18"/>
        <v>0</v>
      </c>
      <c r="H58" s="204">
        <v>0</v>
      </c>
      <c r="I58" s="204">
        <f t="shared" si="19"/>
        <v>0</v>
      </c>
      <c r="J58" s="297">
        <f t="shared" si="20"/>
        <v>22043788.66</v>
      </c>
      <c r="K58" s="336" t="s">
        <v>610</v>
      </c>
      <c r="L58" s="1070">
        <v>4433366</v>
      </c>
      <c r="M58" s="204">
        <f t="shared" ref="M58:M63" si="21">J58-L58</f>
        <v>17610422.66</v>
      </c>
      <c r="N58" s="297">
        <f t="shared" si="17"/>
        <v>0</v>
      </c>
      <c r="O58" s="203">
        <v>2</v>
      </c>
    </row>
    <row r="59" spans="1:15">
      <c r="A59" s="205" t="s">
        <v>663</v>
      </c>
      <c r="B59" s="201">
        <v>454</v>
      </c>
      <c r="C59" s="206" t="s">
        <v>675</v>
      </c>
      <c r="D59" s="202" t="s">
        <v>676</v>
      </c>
      <c r="E59" s="1069"/>
      <c r="F59" s="301" t="s">
        <v>568</v>
      </c>
      <c r="G59" s="297">
        <f t="shared" si="18"/>
        <v>0</v>
      </c>
      <c r="H59" s="204">
        <v>0</v>
      </c>
      <c r="I59" s="204">
        <f t="shared" si="19"/>
        <v>0</v>
      </c>
      <c r="J59" s="297">
        <f t="shared" si="20"/>
        <v>0</v>
      </c>
      <c r="K59" s="297"/>
      <c r="L59" s="738"/>
      <c r="M59" s="204">
        <f t="shared" si="21"/>
        <v>0</v>
      </c>
      <c r="N59" s="297">
        <f t="shared" si="17"/>
        <v>0</v>
      </c>
      <c r="O59" s="203">
        <v>4</v>
      </c>
    </row>
    <row r="60" spans="1:15">
      <c r="A60" s="205" t="s">
        <v>666</v>
      </c>
      <c r="B60" s="201">
        <v>454</v>
      </c>
      <c r="C60" s="200" t="s">
        <v>1377</v>
      </c>
      <c r="D60" s="202" t="s">
        <v>1376</v>
      </c>
      <c r="E60" s="1069">
        <v>-6619.14</v>
      </c>
      <c r="F60" s="301" t="s">
        <v>568</v>
      </c>
      <c r="G60" s="297">
        <f t="shared" si="18"/>
        <v>-6619.14</v>
      </c>
      <c r="H60" s="204">
        <v>0</v>
      </c>
      <c r="I60" s="204">
        <f t="shared" si="19"/>
        <v>-6619.14</v>
      </c>
      <c r="J60" s="297">
        <f t="shared" si="20"/>
        <v>0</v>
      </c>
      <c r="K60" s="297"/>
      <c r="L60" s="738"/>
      <c r="M60" s="204">
        <f t="shared" si="21"/>
        <v>0</v>
      </c>
      <c r="N60" s="297">
        <f t="shared" si="17"/>
        <v>0</v>
      </c>
      <c r="O60" s="203">
        <v>1</v>
      </c>
    </row>
    <row r="61" spans="1:15">
      <c r="A61" s="205" t="s">
        <v>669</v>
      </c>
      <c r="B61" s="201">
        <v>454</v>
      </c>
      <c r="C61" s="201">
        <v>4206515</v>
      </c>
      <c r="D61" s="218" t="s">
        <v>2057</v>
      </c>
      <c r="E61" s="1069">
        <v>1536588.43</v>
      </c>
      <c r="F61" s="301" t="s">
        <v>569</v>
      </c>
      <c r="G61" s="297">
        <f t="shared" si="18"/>
        <v>0</v>
      </c>
      <c r="H61" s="204">
        <v>0</v>
      </c>
      <c r="I61" s="968">
        <f t="shared" si="19"/>
        <v>0</v>
      </c>
      <c r="J61" s="969">
        <f t="shared" si="20"/>
        <v>1536588.43</v>
      </c>
      <c r="K61" s="969" t="s">
        <v>610</v>
      </c>
      <c r="L61" s="738">
        <v>937111</v>
      </c>
      <c r="M61" s="204">
        <f t="shared" si="21"/>
        <v>599477.42999999993</v>
      </c>
      <c r="N61" s="297">
        <f t="shared" si="17"/>
        <v>0</v>
      </c>
      <c r="O61" s="203">
        <v>2</v>
      </c>
    </row>
    <row r="62" spans="1:15">
      <c r="A62" s="205" t="s">
        <v>672</v>
      </c>
      <c r="B62" s="201">
        <v>454</v>
      </c>
      <c r="C62" s="201">
        <v>4184122</v>
      </c>
      <c r="D62" s="218" t="s">
        <v>2059</v>
      </c>
      <c r="E62" s="1069"/>
      <c r="F62" s="301" t="s">
        <v>568</v>
      </c>
      <c r="G62" s="297">
        <f t="shared" si="18"/>
        <v>0</v>
      </c>
      <c r="H62" s="204">
        <v>0</v>
      </c>
      <c r="I62" s="968">
        <f t="shared" si="19"/>
        <v>0</v>
      </c>
      <c r="J62" s="969">
        <f t="shared" si="20"/>
        <v>0</v>
      </c>
      <c r="K62" s="297"/>
      <c r="L62" s="303"/>
      <c r="M62" s="204">
        <f t="shared" si="21"/>
        <v>0</v>
      </c>
      <c r="N62" s="297">
        <f t="shared" si="17"/>
        <v>0</v>
      </c>
      <c r="O62" s="203">
        <v>4</v>
      </c>
    </row>
    <row r="63" spans="1:15">
      <c r="A63" s="200" t="s">
        <v>2056</v>
      </c>
      <c r="B63" s="201">
        <v>454</v>
      </c>
      <c r="C63" s="201">
        <v>4184124</v>
      </c>
      <c r="D63" s="218" t="s">
        <v>2061</v>
      </c>
      <c r="E63" s="1069">
        <v>39200</v>
      </c>
      <c r="F63" s="301" t="s">
        <v>568</v>
      </c>
      <c r="G63" s="297">
        <f t="shared" si="18"/>
        <v>39200</v>
      </c>
      <c r="H63" s="204">
        <v>0</v>
      </c>
      <c r="I63" s="968">
        <f t="shared" si="19"/>
        <v>39200</v>
      </c>
      <c r="J63" s="969">
        <f t="shared" si="20"/>
        <v>0</v>
      </c>
      <c r="K63" s="297"/>
      <c r="L63" s="303"/>
      <c r="M63" s="204">
        <f t="shared" si="21"/>
        <v>0</v>
      </c>
      <c r="N63" s="297">
        <f t="shared" si="17"/>
        <v>0</v>
      </c>
      <c r="O63" s="203">
        <v>4</v>
      </c>
    </row>
    <row r="64" spans="1:15">
      <c r="A64" s="971" t="s">
        <v>2058</v>
      </c>
      <c r="B64" s="1250">
        <v>454</v>
      </c>
      <c r="C64" s="1250">
        <v>4184821</v>
      </c>
      <c r="D64" s="1249" t="s">
        <v>2392</v>
      </c>
      <c r="E64" s="1069">
        <v>87321.600000000006</v>
      </c>
      <c r="F64" s="1069" t="s">
        <v>570</v>
      </c>
      <c r="G64" s="297">
        <f>I64+H64</f>
        <v>5317.8854400000009</v>
      </c>
      <c r="H64" s="204">
        <f>E64*$D$253</f>
        <v>5317.8854400000009</v>
      </c>
      <c r="I64" s="204">
        <v>0</v>
      </c>
      <c r="J64" s="297">
        <f t="shared" si="20"/>
        <v>0</v>
      </c>
      <c r="K64" s="297"/>
      <c r="L64" s="303"/>
      <c r="M64" s="204">
        <f t="shared" si="16"/>
        <v>0</v>
      </c>
      <c r="N64" s="297">
        <f>IF(F64=$N$2,E64-H64,0)</f>
        <v>82003.714560000008</v>
      </c>
      <c r="O64" s="565" t="s">
        <v>647</v>
      </c>
    </row>
    <row r="65" spans="1:15" s="1048" customFormat="1">
      <c r="A65" s="971" t="s">
        <v>2060</v>
      </c>
      <c r="B65" s="1250">
        <v>454</v>
      </c>
      <c r="C65" s="1250">
        <v>4184811</v>
      </c>
      <c r="D65" s="1249" t="s">
        <v>2393</v>
      </c>
      <c r="E65" s="1069">
        <v>756328.49</v>
      </c>
      <c r="F65" s="1069" t="s">
        <v>570</v>
      </c>
      <c r="G65" s="297">
        <f>I65+H65</f>
        <v>46060.405040999998</v>
      </c>
      <c r="H65" s="204">
        <f>E65*$D$253</f>
        <v>46060.405040999998</v>
      </c>
      <c r="I65" s="204">
        <v>0</v>
      </c>
      <c r="J65" s="969">
        <f>IF(F65=$J$2,E65,0)</f>
        <v>0</v>
      </c>
      <c r="K65" s="297"/>
      <c r="L65" s="303"/>
      <c r="M65" s="204">
        <f t="shared" si="16"/>
        <v>0</v>
      </c>
      <c r="N65" s="297">
        <f>IF(F65=$N$2,E65-H65,0)</f>
        <v>710268.084959</v>
      </c>
      <c r="O65" s="565" t="s">
        <v>647</v>
      </c>
    </row>
    <row r="66" spans="1:15" s="1048" customFormat="1">
      <c r="A66" s="971" t="s">
        <v>2467</v>
      </c>
      <c r="B66" s="1250">
        <v>454</v>
      </c>
      <c r="C66" s="1250">
        <v>4184515</v>
      </c>
      <c r="D66" s="1249" t="s">
        <v>2468</v>
      </c>
      <c r="E66" s="1069"/>
      <c r="F66" s="1069" t="s">
        <v>570</v>
      </c>
      <c r="G66" s="297">
        <f>IF(F66=$G$2,E66,0)</f>
        <v>0</v>
      </c>
      <c r="H66" s="204">
        <v>0</v>
      </c>
      <c r="I66" s="204">
        <f>G66-H66</f>
        <v>0</v>
      </c>
      <c r="J66" s="969">
        <f>IF(F66=$J$2,E66,0)</f>
        <v>0</v>
      </c>
      <c r="K66" s="297"/>
      <c r="L66" s="303"/>
      <c r="M66" s="204">
        <f>J66-L66</f>
        <v>0</v>
      </c>
      <c r="N66" s="297">
        <f>IF(F66=$N$2,E66-H66,0)</f>
        <v>0</v>
      </c>
      <c r="O66" s="565">
        <v>6</v>
      </c>
    </row>
    <row r="67" spans="1:15">
      <c r="A67" s="200" t="s">
        <v>2757</v>
      </c>
      <c r="B67" s="201">
        <v>454</v>
      </c>
      <c r="C67" s="202">
        <v>4184126</v>
      </c>
      <c r="D67" s="218" t="s">
        <v>2758</v>
      </c>
      <c r="E67" s="301">
        <v>1508000</v>
      </c>
      <c r="F67" s="301" t="s">
        <v>568</v>
      </c>
      <c r="G67" s="297">
        <f t="shared" ref="G67:G68" si="22">IF(F67=$G$2,E67,0)</f>
        <v>1508000</v>
      </c>
      <c r="H67" s="204">
        <v>0</v>
      </c>
      <c r="I67" s="204">
        <f t="shared" ref="I67" si="23">G67-H67</f>
        <v>1508000</v>
      </c>
      <c r="J67" s="969">
        <f t="shared" ref="J67:J68" si="24">IF(F67=$J$2,E67,0)</f>
        <v>0</v>
      </c>
      <c r="K67" s="297"/>
      <c r="L67" s="303"/>
      <c r="M67" s="204">
        <f t="shared" ref="M67:M68" si="25">J67-L67</f>
        <v>0</v>
      </c>
      <c r="N67" s="297">
        <f t="shared" ref="N67:N68" si="26">IF(F67=$N$2,E67-H67,0)</f>
        <v>0</v>
      </c>
      <c r="O67" s="565">
        <v>4</v>
      </c>
    </row>
    <row r="68" spans="1:15" s="1048" customFormat="1">
      <c r="A68" s="200" t="s">
        <v>2759</v>
      </c>
      <c r="B68" s="201">
        <v>454</v>
      </c>
      <c r="C68" s="202">
        <v>4184526</v>
      </c>
      <c r="D68" s="1067" t="s">
        <v>2760</v>
      </c>
      <c r="E68" s="301"/>
      <c r="F68" s="301" t="s">
        <v>569</v>
      </c>
      <c r="G68" s="297">
        <f t="shared" si="22"/>
        <v>0</v>
      </c>
      <c r="H68" s="204">
        <v>0</v>
      </c>
      <c r="I68" s="204">
        <f>G68-H68</f>
        <v>0</v>
      </c>
      <c r="J68" s="969">
        <f t="shared" si="24"/>
        <v>0</v>
      </c>
      <c r="K68" s="297"/>
      <c r="L68" s="303"/>
      <c r="M68" s="204">
        <f t="shared" si="25"/>
        <v>0</v>
      </c>
      <c r="N68" s="297">
        <f t="shared" si="26"/>
        <v>0</v>
      </c>
      <c r="O68" s="565">
        <v>2</v>
      </c>
    </row>
    <row r="69" spans="1:15" s="1048" customFormat="1">
      <c r="A69" s="331"/>
      <c r="B69" s="327"/>
      <c r="C69" s="326"/>
      <c r="D69" s="737"/>
      <c r="E69" s="301"/>
      <c r="F69" s="301"/>
      <c r="G69" s="305"/>
      <c r="H69" s="303"/>
      <c r="I69" s="303"/>
      <c r="J69" s="301"/>
      <c r="K69" s="301"/>
      <c r="L69" s="303"/>
      <c r="M69" s="303"/>
      <c r="N69" s="301"/>
      <c r="O69" s="302"/>
    </row>
    <row r="70" spans="1:15" ht="13">
      <c r="A70" s="205">
        <v>11</v>
      </c>
      <c r="B70" s="1410" t="s">
        <v>677</v>
      </c>
      <c r="C70" s="1411"/>
      <c r="D70" s="1412"/>
      <c r="E70" s="310">
        <f>SUM(E40:E69)</f>
        <v>81870489.219999984</v>
      </c>
      <c r="F70" s="319"/>
      <c r="G70" s="310">
        <f>SUM(G40:G69)</f>
        <v>55900120.200402997</v>
      </c>
      <c r="H70" s="310">
        <f>SUM(H40:H69)</f>
        <v>3162809.5828429996</v>
      </c>
      <c r="I70" s="310">
        <f>SUM(I40:I69)</f>
        <v>52737310.617559992</v>
      </c>
      <c r="J70" s="310">
        <f>SUM(J40:J69)</f>
        <v>23902804.510000002</v>
      </c>
      <c r="K70" s="319"/>
      <c r="L70" s="310">
        <f>SUM(L40:L69)</f>
        <v>5430567.2629146948</v>
      </c>
      <c r="M70" s="310">
        <f>SUM(M40:M69)</f>
        <v>18472237.247085303</v>
      </c>
      <c r="N70" s="310">
        <f>SUM(N40:N69)</f>
        <v>2067564.5095970002</v>
      </c>
      <c r="O70" s="194"/>
    </row>
    <row r="71" spans="1:15" ht="24.75" customHeight="1">
      <c r="A71" s="205">
        <v>12</v>
      </c>
      <c r="B71" s="1432" t="s">
        <v>1231</v>
      </c>
      <c r="C71" s="1433"/>
      <c r="D71" s="1434"/>
      <c r="E71" s="1195">
        <v>81870488</v>
      </c>
      <c r="F71" s="309"/>
      <c r="G71" s="325"/>
      <c r="H71" s="309"/>
      <c r="I71" s="309"/>
      <c r="J71" s="296"/>
      <c r="K71" s="309"/>
      <c r="L71" s="296"/>
      <c r="M71" s="296"/>
      <c r="N71" s="296"/>
      <c r="O71" s="192"/>
    </row>
    <row r="72" spans="1:15" ht="13">
      <c r="A72" s="208"/>
      <c r="B72" s="209"/>
      <c r="C72" s="210"/>
      <c r="D72" s="211"/>
      <c r="E72" s="296"/>
      <c r="F72" s="296"/>
      <c r="G72" s="296"/>
      <c r="H72" s="309"/>
      <c r="I72" s="309"/>
      <c r="J72" s="296"/>
      <c r="K72" s="309"/>
      <c r="L72" s="296"/>
      <c r="M72" s="296"/>
      <c r="N72" s="296"/>
      <c r="O72" s="192"/>
    </row>
    <row r="73" spans="1:15">
      <c r="A73" s="205" t="s">
        <v>678</v>
      </c>
      <c r="B73" s="201">
        <v>456</v>
      </c>
      <c r="C73" s="206" t="s">
        <v>682</v>
      </c>
      <c r="D73" s="202" t="s">
        <v>683</v>
      </c>
      <c r="E73" s="1305"/>
      <c r="F73" s="301" t="s">
        <v>568</v>
      </c>
      <c r="G73" s="1307">
        <f t="shared" ref="G73:G81" si="27">IF(F73=$G$2,E73,0)</f>
        <v>0</v>
      </c>
      <c r="H73" s="1308">
        <v>0</v>
      </c>
      <c r="I73" s="1308">
        <f t="shared" ref="I73:I81" si="28">G73-H73</f>
        <v>0</v>
      </c>
      <c r="J73" s="1307">
        <f t="shared" ref="J73:J88" si="29">IF(F73=$J$2,E73,0)</f>
        <v>0</v>
      </c>
      <c r="K73" s="1307"/>
      <c r="L73" s="1309"/>
      <c r="M73" s="1308">
        <f t="shared" ref="M73:M88" si="30">J73-L73</f>
        <v>0</v>
      </c>
      <c r="N73" s="1307">
        <f t="shared" ref="N73:N81" si="31">IF(F73=$N$2,E73,0)</f>
        <v>0</v>
      </c>
      <c r="O73" s="1308">
        <v>1</v>
      </c>
    </row>
    <row r="74" spans="1:15">
      <c r="A74" s="205" t="s">
        <v>679</v>
      </c>
      <c r="B74" s="201">
        <v>456</v>
      </c>
      <c r="C74" s="206" t="s">
        <v>684</v>
      </c>
      <c r="D74" s="202" t="s">
        <v>685</v>
      </c>
      <c r="E74" s="1305">
        <v>14465.2</v>
      </c>
      <c r="F74" s="301" t="s">
        <v>568</v>
      </c>
      <c r="G74" s="1307">
        <f t="shared" si="27"/>
        <v>14465.2</v>
      </c>
      <c r="H74" s="1308">
        <v>0</v>
      </c>
      <c r="I74" s="1308">
        <f t="shared" si="28"/>
        <v>14465.2</v>
      </c>
      <c r="J74" s="1307">
        <f t="shared" si="29"/>
        <v>0</v>
      </c>
      <c r="K74" s="1307"/>
      <c r="L74" s="1309"/>
      <c r="M74" s="1308">
        <f t="shared" si="30"/>
        <v>0</v>
      </c>
      <c r="N74" s="1307">
        <f t="shared" si="31"/>
        <v>0</v>
      </c>
      <c r="O74" s="1308">
        <v>4</v>
      </c>
    </row>
    <row r="75" spans="1:15">
      <c r="A75" s="205" t="s">
        <v>680</v>
      </c>
      <c r="B75" s="201">
        <v>456</v>
      </c>
      <c r="C75" s="206" t="s">
        <v>686</v>
      </c>
      <c r="D75" s="202" t="s">
        <v>687</v>
      </c>
      <c r="E75" s="1305">
        <v>814281.12</v>
      </c>
      <c r="F75" s="301" t="s">
        <v>568</v>
      </c>
      <c r="G75" s="1307">
        <f t="shared" si="27"/>
        <v>814281.12</v>
      </c>
      <c r="H75" s="1308">
        <v>0</v>
      </c>
      <c r="I75" s="1308">
        <f t="shared" si="28"/>
        <v>814281.12</v>
      </c>
      <c r="J75" s="1307">
        <f t="shared" si="29"/>
        <v>0</v>
      </c>
      <c r="K75" s="1307"/>
      <c r="L75" s="1309"/>
      <c r="M75" s="1308">
        <f t="shared" si="30"/>
        <v>0</v>
      </c>
      <c r="N75" s="1307">
        <f t="shared" si="31"/>
        <v>0</v>
      </c>
      <c r="O75" s="1308">
        <v>4</v>
      </c>
    </row>
    <row r="76" spans="1:15">
      <c r="A76" s="205" t="s">
        <v>681</v>
      </c>
      <c r="B76" s="201">
        <v>456</v>
      </c>
      <c r="C76" s="206" t="s">
        <v>689</v>
      </c>
      <c r="D76" s="202" t="s">
        <v>690</v>
      </c>
      <c r="E76" s="1305"/>
      <c r="F76" s="301" t="s">
        <v>568</v>
      </c>
      <c r="G76" s="1307">
        <f t="shared" si="27"/>
        <v>0</v>
      </c>
      <c r="H76" s="1308">
        <v>0</v>
      </c>
      <c r="I76" s="1308">
        <f t="shared" si="28"/>
        <v>0</v>
      </c>
      <c r="J76" s="1307">
        <f t="shared" si="29"/>
        <v>0</v>
      </c>
      <c r="K76" s="1307"/>
      <c r="L76" s="1309"/>
      <c r="M76" s="1308">
        <f t="shared" si="30"/>
        <v>0</v>
      </c>
      <c r="N76" s="1307">
        <f t="shared" si="31"/>
        <v>0</v>
      </c>
      <c r="O76" s="1308">
        <v>3</v>
      </c>
    </row>
    <row r="77" spans="1:15">
      <c r="A77" s="200" t="s">
        <v>688</v>
      </c>
      <c r="B77" s="201">
        <v>456</v>
      </c>
      <c r="C77" s="202" t="s">
        <v>692</v>
      </c>
      <c r="D77" s="202" t="s">
        <v>693</v>
      </c>
      <c r="E77" s="1305">
        <v>160</v>
      </c>
      <c r="F77" s="301" t="s">
        <v>568</v>
      </c>
      <c r="G77" s="1307">
        <f t="shared" si="27"/>
        <v>160</v>
      </c>
      <c r="H77" s="1308">
        <v>0</v>
      </c>
      <c r="I77" s="1308">
        <f t="shared" si="28"/>
        <v>160</v>
      </c>
      <c r="J77" s="1307">
        <f t="shared" si="29"/>
        <v>0</v>
      </c>
      <c r="K77" s="1307"/>
      <c r="L77" s="1309"/>
      <c r="M77" s="1308">
        <f t="shared" si="30"/>
        <v>0</v>
      </c>
      <c r="N77" s="1307">
        <f t="shared" si="31"/>
        <v>0</v>
      </c>
      <c r="O77" s="1308">
        <v>1</v>
      </c>
    </row>
    <row r="78" spans="1:15">
      <c r="A78" s="200" t="s">
        <v>691</v>
      </c>
      <c r="B78" s="201">
        <v>456</v>
      </c>
      <c r="C78" s="202" t="s">
        <v>695</v>
      </c>
      <c r="D78" s="202" t="s">
        <v>696</v>
      </c>
      <c r="E78" s="1305">
        <v>1405881.29</v>
      </c>
      <c r="F78" s="301" t="s">
        <v>568</v>
      </c>
      <c r="G78" s="1307">
        <f t="shared" si="27"/>
        <v>1405881.29</v>
      </c>
      <c r="H78" s="1308">
        <v>0</v>
      </c>
      <c r="I78" s="1308">
        <f t="shared" si="28"/>
        <v>1405881.29</v>
      </c>
      <c r="J78" s="1307">
        <f t="shared" si="29"/>
        <v>0</v>
      </c>
      <c r="K78" s="1307"/>
      <c r="L78" s="1309"/>
      <c r="M78" s="1308">
        <f t="shared" si="30"/>
        <v>0</v>
      </c>
      <c r="N78" s="1307">
        <f t="shared" si="31"/>
        <v>0</v>
      </c>
      <c r="O78" s="1308">
        <v>1</v>
      </c>
    </row>
    <row r="79" spans="1:15">
      <c r="A79" s="200" t="s">
        <v>694</v>
      </c>
      <c r="B79" s="201">
        <v>456</v>
      </c>
      <c r="C79" s="202" t="s">
        <v>698</v>
      </c>
      <c r="D79" s="202" t="s">
        <v>699</v>
      </c>
      <c r="E79" s="1305"/>
      <c r="F79" s="301" t="s">
        <v>568</v>
      </c>
      <c r="G79" s="1307">
        <f t="shared" si="27"/>
        <v>0</v>
      </c>
      <c r="H79" s="1308">
        <v>0</v>
      </c>
      <c r="I79" s="1308">
        <f t="shared" si="28"/>
        <v>0</v>
      </c>
      <c r="J79" s="1307">
        <f t="shared" si="29"/>
        <v>0</v>
      </c>
      <c r="K79" s="1307"/>
      <c r="L79" s="1309"/>
      <c r="M79" s="1308">
        <f t="shared" si="30"/>
        <v>0</v>
      </c>
      <c r="N79" s="1307">
        <f t="shared" si="31"/>
        <v>0</v>
      </c>
      <c r="O79" s="1308">
        <v>3</v>
      </c>
    </row>
    <row r="80" spans="1:15">
      <c r="A80" s="200" t="s">
        <v>697</v>
      </c>
      <c r="B80" s="201">
        <v>456</v>
      </c>
      <c r="C80" s="201">
        <v>4186142</v>
      </c>
      <c r="D80" s="202" t="s">
        <v>1375</v>
      </c>
      <c r="E80" s="1305"/>
      <c r="F80" s="301" t="s">
        <v>568</v>
      </c>
      <c r="G80" s="1307">
        <f t="shared" si="27"/>
        <v>0</v>
      </c>
      <c r="H80" s="1308">
        <v>0</v>
      </c>
      <c r="I80" s="1308">
        <f t="shared" si="28"/>
        <v>0</v>
      </c>
      <c r="J80" s="1307">
        <f t="shared" si="29"/>
        <v>0</v>
      </c>
      <c r="K80" s="1307"/>
      <c r="L80" s="1309"/>
      <c r="M80" s="1308">
        <f t="shared" si="30"/>
        <v>0</v>
      </c>
      <c r="N80" s="1307">
        <f t="shared" si="31"/>
        <v>0</v>
      </c>
      <c r="O80" s="1308">
        <v>4</v>
      </c>
    </row>
    <row r="81" spans="1:15">
      <c r="A81" s="200" t="s">
        <v>700</v>
      </c>
      <c r="B81" s="201">
        <v>456</v>
      </c>
      <c r="C81" s="202" t="s">
        <v>701</v>
      </c>
      <c r="D81" s="202" t="s">
        <v>702</v>
      </c>
      <c r="E81" s="1305"/>
      <c r="F81" s="301" t="s">
        <v>568</v>
      </c>
      <c r="G81" s="1307">
        <f t="shared" si="27"/>
        <v>0</v>
      </c>
      <c r="H81" s="1308">
        <f>E81*$D$247</f>
        <v>0</v>
      </c>
      <c r="I81" s="1308">
        <f t="shared" si="28"/>
        <v>0</v>
      </c>
      <c r="J81" s="1307">
        <f t="shared" si="29"/>
        <v>0</v>
      </c>
      <c r="K81" s="1307"/>
      <c r="L81" s="1309"/>
      <c r="M81" s="1308">
        <f t="shared" si="30"/>
        <v>0</v>
      </c>
      <c r="N81" s="1307">
        <f t="shared" si="31"/>
        <v>0</v>
      </c>
      <c r="O81" s="1308">
        <v>7</v>
      </c>
    </row>
    <row r="82" spans="1:15">
      <c r="A82" s="200" t="s">
        <v>703</v>
      </c>
      <c r="B82" s="201">
        <v>456</v>
      </c>
      <c r="C82" s="202" t="s">
        <v>704</v>
      </c>
      <c r="D82" s="202" t="s">
        <v>705</v>
      </c>
      <c r="E82" s="1305">
        <v>7275.83</v>
      </c>
      <c r="F82" s="301" t="s">
        <v>570</v>
      </c>
      <c r="G82" s="1318">
        <f>I82+H82</f>
        <v>443.09804700000001</v>
      </c>
      <c r="H82" s="1319">
        <f>E82*$D$253</f>
        <v>443.09804700000001</v>
      </c>
      <c r="I82" s="1319">
        <v>0</v>
      </c>
      <c r="J82" s="1307">
        <f t="shared" si="29"/>
        <v>0</v>
      </c>
      <c r="K82" s="1307"/>
      <c r="L82" s="1309"/>
      <c r="M82" s="1308">
        <f t="shared" si="30"/>
        <v>0</v>
      </c>
      <c r="N82" s="1307">
        <f>IF(F82=$N$2,E82-H82,0)</f>
        <v>6832.7319529999995</v>
      </c>
      <c r="O82" s="1308" t="s">
        <v>647</v>
      </c>
    </row>
    <row r="83" spans="1:15">
      <c r="A83" s="200" t="s">
        <v>706</v>
      </c>
      <c r="B83" s="201">
        <v>456</v>
      </c>
      <c r="C83" s="202" t="s">
        <v>707</v>
      </c>
      <c r="D83" s="202" t="s">
        <v>708</v>
      </c>
      <c r="E83" s="1305">
        <v>1205.7</v>
      </c>
      <c r="F83" s="301" t="s">
        <v>568</v>
      </c>
      <c r="G83" s="1307">
        <f t="shared" ref="G83:G122" si="32">IF(F83=$G$2,E83,0)</f>
        <v>1205.7</v>
      </c>
      <c r="H83" s="1308">
        <v>0</v>
      </c>
      <c r="I83" s="1308">
        <f t="shared" ref="I83:I88" si="33">G83-H83</f>
        <v>1205.7</v>
      </c>
      <c r="J83" s="1307">
        <f t="shared" si="29"/>
        <v>0</v>
      </c>
      <c r="K83" s="1307"/>
      <c r="L83" s="1309"/>
      <c r="M83" s="1308">
        <f t="shared" si="30"/>
        <v>0</v>
      </c>
      <c r="N83" s="1307">
        <f t="shared" ref="N83:N88" si="34">IF(F83=$N$2,E83,0)</f>
        <v>0</v>
      </c>
      <c r="O83" s="1308">
        <v>4</v>
      </c>
    </row>
    <row r="84" spans="1:15">
      <c r="A84" s="200" t="s">
        <v>709</v>
      </c>
      <c r="B84" s="201">
        <v>456</v>
      </c>
      <c r="C84" s="202" t="s">
        <v>710</v>
      </c>
      <c r="D84" s="202" t="s">
        <v>711</v>
      </c>
      <c r="E84" s="1305">
        <v>12101.6</v>
      </c>
      <c r="F84" s="301" t="s">
        <v>568</v>
      </c>
      <c r="G84" s="1307">
        <f t="shared" si="32"/>
        <v>12101.6</v>
      </c>
      <c r="H84" s="1308">
        <v>0</v>
      </c>
      <c r="I84" s="1308">
        <f t="shared" si="33"/>
        <v>12101.6</v>
      </c>
      <c r="J84" s="1307">
        <f t="shared" si="29"/>
        <v>0</v>
      </c>
      <c r="K84" s="1307"/>
      <c r="L84" s="1309"/>
      <c r="M84" s="1308">
        <f t="shared" si="30"/>
        <v>0</v>
      </c>
      <c r="N84" s="1307">
        <f t="shared" si="34"/>
        <v>0</v>
      </c>
      <c r="O84" s="1308">
        <v>4</v>
      </c>
    </row>
    <row r="85" spans="1:15">
      <c r="A85" s="200" t="s">
        <v>712</v>
      </c>
      <c r="B85" s="201">
        <v>456</v>
      </c>
      <c r="C85" s="202" t="s">
        <v>713</v>
      </c>
      <c r="D85" s="202" t="s">
        <v>714</v>
      </c>
      <c r="E85" s="1305">
        <v>3656.68</v>
      </c>
      <c r="F85" s="301" t="s">
        <v>568</v>
      </c>
      <c r="G85" s="1307">
        <f t="shared" si="32"/>
        <v>3656.68</v>
      </c>
      <c r="H85" s="1308">
        <v>0</v>
      </c>
      <c r="I85" s="1308">
        <f t="shared" si="33"/>
        <v>3656.68</v>
      </c>
      <c r="J85" s="1307">
        <f t="shared" si="29"/>
        <v>0</v>
      </c>
      <c r="K85" s="1307"/>
      <c r="L85" s="1309"/>
      <c r="M85" s="1308">
        <f t="shared" si="30"/>
        <v>0</v>
      </c>
      <c r="N85" s="1307">
        <f t="shared" si="34"/>
        <v>0</v>
      </c>
      <c r="O85" s="1308">
        <v>4</v>
      </c>
    </row>
    <row r="86" spans="1:15">
      <c r="A86" s="200" t="s">
        <v>715</v>
      </c>
      <c r="B86" s="201">
        <v>456</v>
      </c>
      <c r="C86" s="202" t="s">
        <v>716</v>
      </c>
      <c r="D86" s="202" t="s">
        <v>717</v>
      </c>
      <c r="E86" s="1305">
        <v>827.5</v>
      </c>
      <c r="F86" s="301" t="s">
        <v>568</v>
      </c>
      <c r="G86" s="1307">
        <f t="shared" si="32"/>
        <v>827.5</v>
      </c>
      <c r="H86" s="1308">
        <v>0</v>
      </c>
      <c r="I86" s="1308">
        <f t="shared" si="33"/>
        <v>827.5</v>
      </c>
      <c r="J86" s="1307">
        <f t="shared" si="29"/>
        <v>0</v>
      </c>
      <c r="K86" s="1307"/>
      <c r="L86" s="1309"/>
      <c r="M86" s="1308">
        <f t="shared" si="30"/>
        <v>0</v>
      </c>
      <c r="N86" s="1307">
        <f t="shared" si="34"/>
        <v>0</v>
      </c>
      <c r="O86" s="1308">
        <v>4</v>
      </c>
    </row>
    <row r="87" spans="1:15">
      <c r="A87" s="200" t="s">
        <v>718</v>
      </c>
      <c r="B87" s="201">
        <v>456</v>
      </c>
      <c r="C87" s="202" t="s">
        <v>719</v>
      </c>
      <c r="D87" s="202" t="s">
        <v>720</v>
      </c>
      <c r="E87" s="1305">
        <v>704.1</v>
      </c>
      <c r="F87" s="301" t="s">
        <v>568</v>
      </c>
      <c r="G87" s="1307">
        <f t="shared" si="32"/>
        <v>704.1</v>
      </c>
      <c r="H87" s="1308">
        <v>0</v>
      </c>
      <c r="I87" s="1308">
        <f t="shared" si="33"/>
        <v>704.1</v>
      </c>
      <c r="J87" s="1307">
        <f t="shared" si="29"/>
        <v>0</v>
      </c>
      <c r="K87" s="1307"/>
      <c r="L87" s="1309"/>
      <c r="M87" s="1308">
        <f t="shared" si="30"/>
        <v>0</v>
      </c>
      <c r="N87" s="1307">
        <f t="shared" si="34"/>
        <v>0</v>
      </c>
      <c r="O87" s="1308">
        <v>4</v>
      </c>
    </row>
    <row r="88" spans="1:15">
      <c r="A88" s="200" t="s">
        <v>721</v>
      </c>
      <c r="B88" s="201">
        <v>456</v>
      </c>
      <c r="C88" s="202" t="s">
        <v>722</v>
      </c>
      <c r="D88" s="202" t="s">
        <v>723</v>
      </c>
      <c r="E88" s="1305">
        <v>208656</v>
      </c>
      <c r="F88" s="301" t="s">
        <v>568</v>
      </c>
      <c r="G88" s="1307">
        <f t="shared" si="32"/>
        <v>208656</v>
      </c>
      <c r="H88" s="1308">
        <v>0</v>
      </c>
      <c r="I88" s="1308">
        <f t="shared" si="33"/>
        <v>208656</v>
      </c>
      <c r="J88" s="1307">
        <f t="shared" si="29"/>
        <v>0</v>
      </c>
      <c r="K88" s="1307"/>
      <c r="L88" s="1309"/>
      <c r="M88" s="1308">
        <f t="shared" si="30"/>
        <v>0</v>
      </c>
      <c r="N88" s="1307">
        <f t="shared" si="34"/>
        <v>0</v>
      </c>
      <c r="O88" s="1308">
        <v>4</v>
      </c>
    </row>
    <row r="89" spans="1:15">
      <c r="A89" s="200" t="s">
        <v>724</v>
      </c>
      <c r="B89" s="201">
        <v>456</v>
      </c>
      <c r="C89" s="202" t="s">
        <v>725</v>
      </c>
      <c r="D89" s="202" t="s">
        <v>726</v>
      </c>
      <c r="E89" s="1305">
        <v>2187799.41</v>
      </c>
      <c r="F89" s="301" t="s">
        <v>569</v>
      </c>
      <c r="G89" s="1307">
        <f t="shared" si="32"/>
        <v>0</v>
      </c>
      <c r="H89" s="1308">
        <v>0</v>
      </c>
      <c r="I89" s="1308">
        <f t="shared" ref="I89:I99" si="35">G89-H89</f>
        <v>0</v>
      </c>
      <c r="J89" s="1307">
        <f t="shared" ref="J89:J99" si="36">IF(F89=$J$2,E89,0)</f>
        <v>2187799.41</v>
      </c>
      <c r="K89" s="1310" t="s">
        <v>610</v>
      </c>
      <c r="L89" s="1317">
        <v>192946.71624414201</v>
      </c>
      <c r="M89" s="1308">
        <f t="shared" ref="M89:M99" si="37">J89-L89</f>
        <v>1994852.6937558581</v>
      </c>
      <c r="N89" s="1307">
        <f t="shared" ref="N89:N99" si="38">IF(F89=$N$2,E89,0)</f>
        <v>0</v>
      </c>
      <c r="O89" s="1308">
        <v>2</v>
      </c>
    </row>
    <row r="90" spans="1:15">
      <c r="A90" s="200" t="s">
        <v>727</v>
      </c>
      <c r="B90" s="201">
        <v>456</v>
      </c>
      <c r="C90" s="202" t="s">
        <v>728</v>
      </c>
      <c r="D90" s="202" t="s">
        <v>729</v>
      </c>
      <c r="E90" s="1305">
        <v>144785.16</v>
      </c>
      <c r="F90" s="301" t="s">
        <v>569</v>
      </c>
      <c r="G90" s="1307">
        <f t="shared" si="32"/>
        <v>0</v>
      </c>
      <c r="H90" s="1308">
        <v>0</v>
      </c>
      <c r="I90" s="1308">
        <f t="shared" si="35"/>
        <v>0</v>
      </c>
      <c r="J90" s="1307">
        <f t="shared" si="36"/>
        <v>144785.16</v>
      </c>
      <c r="K90" s="1310" t="s">
        <v>610</v>
      </c>
      <c r="L90" s="1317">
        <v>26838</v>
      </c>
      <c r="M90" s="1308">
        <f t="shared" si="37"/>
        <v>117947.16</v>
      </c>
      <c r="N90" s="1307">
        <f t="shared" si="38"/>
        <v>0</v>
      </c>
      <c r="O90" s="1308">
        <v>2</v>
      </c>
    </row>
    <row r="91" spans="1:15">
      <c r="A91" s="200" t="s">
        <v>730</v>
      </c>
      <c r="B91" s="201">
        <v>456</v>
      </c>
      <c r="C91" s="202" t="s">
        <v>731</v>
      </c>
      <c r="D91" s="202" t="s">
        <v>732</v>
      </c>
      <c r="E91" s="1305">
        <v>185000</v>
      </c>
      <c r="F91" s="301" t="s">
        <v>569</v>
      </c>
      <c r="G91" s="1307">
        <f t="shared" si="32"/>
        <v>0</v>
      </c>
      <c r="H91" s="1308">
        <v>0</v>
      </c>
      <c r="I91" s="1308">
        <f t="shared" si="35"/>
        <v>0</v>
      </c>
      <c r="J91" s="1307">
        <f t="shared" si="36"/>
        <v>185000</v>
      </c>
      <c r="K91" s="1310" t="s">
        <v>610</v>
      </c>
      <c r="L91" s="1309">
        <v>9351</v>
      </c>
      <c r="M91" s="1308">
        <f t="shared" si="37"/>
        <v>175649</v>
      </c>
      <c r="N91" s="1307">
        <f t="shared" si="38"/>
        <v>0</v>
      </c>
      <c r="O91" s="1308">
        <v>2</v>
      </c>
    </row>
    <row r="92" spans="1:15">
      <c r="A92" s="971" t="s">
        <v>733</v>
      </c>
      <c r="B92" s="201">
        <v>456</v>
      </c>
      <c r="C92" s="202" t="s">
        <v>735</v>
      </c>
      <c r="D92" s="202" t="s">
        <v>736</v>
      </c>
      <c r="E92" s="1305"/>
      <c r="F92" s="301" t="s">
        <v>569</v>
      </c>
      <c r="G92" s="1307">
        <f t="shared" si="32"/>
        <v>0</v>
      </c>
      <c r="H92" s="1308">
        <v>0</v>
      </c>
      <c r="I92" s="1308">
        <f t="shared" si="35"/>
        <v>0</v>
      </c>
      <c r="J92" s="1307">
        <f t="shared" si="36"/>
        <v>0</v>
      </c>
      <c r="K92" s="1310" t="s">
        <v>610</v>
      </c>
      <c r="L92" s="1309"/>
      <c r="M92" s="1308">
        <f t="shared" si="37"/>
        <v>0</v>
      </c>
      <c r="N92" s="1307">
        <f t="shared" si="38"/>
        <v>0</v>
      </c>
      <c r="O92" s="1308">
        <v>2</v>
      </c>
    </row>
    <row r="93" spans="1:15">
      <c r="A93" s="971" t="s">
        <v>734</v>
      </c>
      <c r="B93" s="201">
        <v>456</v>
      </c>
      <c r="C93" s="202" t="s">
        <v>738</v>
      </c>
      <c r="D93" s="202" t="s">
        <v>739</v>
      </c>
      <c r="E93" s="1305"/>
      <c r="F93" s="301" t="s">
        <v>569</v>
      </c>
      <c r="G93" s="1307">
        <f t="shared" si="32"/>
        <v>0</v>
      </c>
      <c r="H93" s="1308">
        <v>0</v>
      </c>
      <c r="I93" s="1308">
        <f t="shared" si="35"/>
        <v>0</v>
      </c>
      <c r="J93" s="1307">
        <f t="shared" si="36"/>
        <v>0</v>
      </c>
      <c r="K93" s="1310" t="s">
        <v>610</v>
      </c>
      <c r="L93" s="1309"/>
      <c r="M93" s="1308">
        <f t="shared" si="37"/>
        <v>0</v>
      </c>
      <c r="N93" s="1307">
        <f t="shared" si="38"/>
        <v>0</v>
      </c>
      <c r="O93" s="1308">
        <v>2</v>
      </c>
    </row>
    <row r="94" spans="1:15">
      <c r="A94" s="971" t="s">
        <v>737</v>
      </c>
      <c r="B94" s="201">
        <v>456</v>
      </c>
      <c r="C94" s="202" t="s">
        <v>741</v>
      </c>
      <c r="D94" s="202" t="s">
        <v>742</v>
      </c>
      <c r="E94" s="1305"/>
      <c r="F94" s="301" t="s">
        <v>569</v>
      </c>
      <c r="G94" s="1307">
        <f t="shared" si="32"/>
        <v>0</v>
      </c>
      <c r="H94" s="1308">
        <v>0</v>
      </c>
      <c r="I94" s="1308">
        <f t="shared" si="35"/>
        <v>0</v>
      </c>
      <c r="J94" s="1307">
        <f t="shared" si="36"/>
        <v>0</v>
      </c>
      <c r="K94" s="1310" t="s">
        <v>610</v>
      </c>
      <c r="L94" s="1309"/>
      <c r="M94" s="1308">
        <f t="shared" si="37"/>
        <v>0</v>
      </c>
      <c r="N94" s="1307">
        <f t="shared" si="38"/>
        <v>0</v>
      </c>
      <c r="O94" s="1308">
        <v>2</v>
      </c>
    </row>
    <row r="95" spans="1:15">
      <c r="A95" s="971" t="s">
        <v>740</v>
      </c>
      <c r="B95" s="201">
        <v>456</v>
      </c>
      <c r="C95" s="202" t="s">
        <v>743</v>
      </c>
      <c r="D95" s="202" t="s">
        <v>744</v>
      </c>
      <c r="E95" s="1305">
        <v>9675</v>
      </c>
      <c r="F95" s="301" t="s">
        <v>569</v>
      </c>
      <c r="G95" s="1307">
        <f t="shared" si="32"/>
        <v>0</v>
      </c>
      <c r="H95" s="1308">
        <v>0</v>
      </c>
      <c r="I95" s="1308">
        <f t="shared" si="35"/>
        <v>0</v>
      </c>
      <c r="J95" s="1307">
        <f t="shared" si="36"/>
        <v>9675</v>
      </c>
      <c r="K95" s="1310" t="s">
        <v>554</v>
      </c>
      <c r="L95" s="1309">
        <v>4141</v>
      </c>
      <c r="M95" s="1308">
        <f t="shared" si="37"/>
        <v>5534</v>
      </c>
      <c r="N95" s="1307">
        <f t="shared" si="38"/>
        <v>0</v>
      </c>
      <c r="O95" s="1308">
        <v>2</v>
      </c>
    </row>
    <row r="96" spans="1:15">
      <c r="A96" s="1219" t="s">
        <v>807</v>
      </c>
      <c r="B96" s="201">
        <v>456</v>
      </c>
      <c r="C96" s="202" t="s">
        <v>746</v>
      </c>
      <c r="D96" s="202" t="s">
        <v>747</v>
      </c>
      <c r="E96" s="1305"/>
      <c r="F96" s="301" t="s">
        <v>569</v>
      </c>
      <c r="G96" s="1307">
        <f t="shared" si="32"/>
        <v>0</v>
      </c>
      <c r="H96" s="1308">
        <v>0</v>
      </c>
      <c r="I96" s="1308">
        <f t="shared" si="35"/>
        <v>0</v>
      </c>
      <c r="J96" s="1307">
        <f t="shared" si="36"/>
        <v>0</v>
      </c>
      <c r="K96" s="1310" t="s">
        <v>554</v>
      </c>
      <c r="L96" s="1309"/>
      <c r="M96" s="1308">
        <f t="shared" si="37"/>
        <v>0</v>
      </c>
      <c r="N96" s="1307">
        <f t="shared" si="38"/>
        <v>0</v>
      </c>
      <c r="O96" s="1308">
        <v>2</v>
      </c>
    </row>
    <row r="97" spans="1:15">
      <c r="A97" s="1218" t="s">
        <v>810</v>
      </c>
      <c r="B97" s="201">
        <v>456</v>
      </c>
      <c r="C97" s="202" t="s">
        <v>749</v>
      </c>
      <c r="D97" s="202" t="s">
        <v>750</v>
      </c>
      <c r="E97" s="1305"/>
      <c r="F97" s="301" t="s">
        <v>569</v>
      </c>
      <c r="G97" s="1307">
        <f t="shared" si="32"/>
        <v>0</v>
      </c>
      <c r="H97" s="1308">
        <v>0</v>
      </c>
      <c r="I97" s="1308">
        <f t="shared" si="35"/>
        <v>0</v>
      </c>
      <c r="J97" s="1307">
        <f t="shared" si="36"/>
        <v>0</v>
      </c>
      <c r="K97" s="1310" t="s">
        <v>554</v>
      </c>
      <c r="L97" s="1309"/>
      <c r="M97" s="1308">
        <f t="shared" si="37"/>
        <v>0</v>
      </c>
      <c r="N97" s="1307">
        <f t="shared" si="38"/>
        <v>0</v>
      </c>
      <c r="O97" s="1308">
        <v>2</v>
      </c>
    </row>
    <row r="98" spans="1:15">
      <c r="A98" s="1219" t="s">
        <v>813</v>
      </c>
      <c r="B98" s="201">
        <v>456</v>
      </c>
      <c r="C98" s="202" t="s">
        <v>752</v>
      </c>
      <c r="D98" s="202" t="s">
        <v>753</v>
      </c>
      <c r="E98" s="1305"/>
      <c r="F98" s="301" t="s">
        <v>569</v>
      </c>
      <c r="G98" s="1307">
        <f t="shared" si="32"/>
        <v>0</v>
      </c>
      <c r="H98" s="1308">
        <v>0</v>
      </c>
      <c r="I98" s="1308">
        <f t="shared" si="35"/>
        <v>0</v>
      </c>
      <c r="J98" s="1307">
        <f t="shared" si="36"/>
        <v>0</v>
      </c>
      <c r="K98" s="1310" t="s">
        <v>554</v>
      </c>
      <c r="L98" s="1309"/>
      <c r="M98" s="1308">
        <f t="shared" si="37"/>
        <v>0</v>
      </c>
      <c r="N98" s="1307">
        <f t="shared" si="38"/>
        <v>0</v>
      </c>
      <c r="O98" s="1308">
        <v>2</v>
      </c>
    </row>
    <row r="99" spans="1:15">
      <c r="A99" s="200" t="s">
        <v>745</v>
      </c>
      <c r="B99" s="201">
        <v>456</v>
      </c>
      <c r="C99" s="202" t="s">
        <v>755</v>
      </c>
      <c r="D99" s="202" t="s">
        <v>756</v>
      </c>
      <c r="E99" s="1305"/>
      <c r="F99" s="301" t="s">
        <v>569</v>
      </c>
      <c r="G99" s="1307">
        <f t="shared" si="32"/>
        <v>0</v>
      </c>
      <c r="H99" s="1308">
        <v>0</v>
      </c>
      <c r="I99" s="1308">
        <f t="shared" si="35"/>
        <v>0</v>
      </c>
      <c r="J99" s="1307">
        <f t="shared" si="36"/>
        <v>0</v>
      </c>
      <c r="K99" s="1310" t="s">
        <v>554</v>
      </c>
      <c r="L99" s="1317"/>
      <c r="M99" s="1308">
        <f t="shared" si="37"/>
        <v>0</v>
      </c>
      <c r="N99" s="1307">
        <f t="shared" si="38"/>
        <v>0</v>
      </c>
      <c r="O99" s="1308">
        <v>2</v>
      </c>
    </row>
    <row r="100" spans="1:15">
      <c r="A100" s="200" t="s">
        <v>748</v>
      </c>
      <c r="B100" s="201">
        <v>456</v>
      </c>
      <c r="C100" s="202" t="s">
        <v>758</v>
      </c>
      <c r="D100" s="202" t="s">
        <v>759</v>
      </c>
      <c r="E100" s="1305">
        <v>22231.5</v>
      </c>
      <c r="F100" s="301" t="s">
        <v>570</v>
      </c>
      <c r="G100" s="1307">
        <f t="shared" si="32"/>
        <v>0</v>
      </c>
      <c r="H100" s="1308">
        <v>0</v>
      </c>
      <c r="I100" s="1308">
        <f t="shared" ref="I100:I122" si="39">G100-H100</f>
        <v>0</v>
      </c>
      <c r="J100" s="1307">
        <f t="shared" ref="J100:J122" si="40">IF(F100=$J$2,E100,0)</f>
        <v>0</v>
      </c>
      <c r="K100" s="1307"/>
      <c r="L100" s="1309"/>
      <c r="M100" s="1308">
        <f t="shared" ref="M100:M122" si="41">J100-L100</f>
        <v>0</v>
      </c>
      <c r="N100" s="1307">
        <f t="shared" ref="N100:N107" si="42">IF(F100=$N$2,E100,0)</f>
        <v>22231.5</v>
      </c>
      <c r="O100" s="1308">
        <v>6</v>
      </c>
    </row>
    <row r="101" spans="1:15">
      <c r="A101" s="200" t="s">
        <v>751</v>
      </c>
      <c r="B101" s="201">
        <v>456</v>
      </c>
      <c r="C101" s="202" t="s">
        <v>761</v>
      </c>
      <c r="D101" s="202" t="s">
        <v>762</v>
      </c>
      <c r="E101" s="1305">
        <v>23711310.579999998</v>
      </c>
      <c r="F101" s="301" t="s">
        <v>568</v>
      </c>
      <c r="G101" s="1307">
        <f t="shared" si="32"/>
        <v>23711310.579999998</v>
      </c>
      <c r="H101" s="1308">
        <v>0</v>
      </c>
      <c r="I101" s="1308">
        <f t="shared" si="39"/>
        <v>23711310.579999998</v>
      </c>
      <c r="J101" s="1307">
        <f t="shared" si="40"/>
        <v>0</v>
      </c>
      <c r="K101" s="1307"/>
      <c r="L101" s="1309"/>
      <c r="M101" s="1308">
        <f t="shared" si="41"/>
        <v>0</v>
      </c>
      <c r="N101" s="1307">
        <f t="shared" si="42"/>
        <v>0</v>
      </c>
      <c r="O101" s="1308">
        <v>4</v>
      </c>
    </row>
    <row r="102" spans="1:15">
      <c r="A102" s="200" t="s">
        <v>754</v>
      </c>
      <c r="B102" s="201">
        <v>456</v>
      </c>
      <c r="C102" s="202" t="s">
        <v>764</v>
      </c>
      <c r="D102" s="970" t="s">
        <v>1712</v>
      </c>
      <c r="E102" s="1305"/>
      <c r="F102" s="301" t="s">
        <v>570</v>
      </c>
      <c r="G102" s="1307">
        <f t="shared" si="32"/>
        <v>0</v>
      </c>
      <c r="H102" s="1308">
        <v>0</v>
      </c>
      <c r="I102" s="1308">
        <f t="shared" si="39"/>
        <v>0</v>
      </c>
      <c r="J102" s="1307">
        <f t="shared" si="40"/>
        <v>0</v>
      </c>
      <c r="K102" s="1307"/>
      <c r="L102" s="1309"/>
      <c r="M102" s="1308">
        <f t="shared" si="41"/>
        <v>0</v>
      </c>
      <c r="N102" s="1307">
        <f t="shared" si="42"/>
        <v>0</v>
      </c>
      <c r="O102" s="1308">
        <v>6</v>
      </c>
    </row>
    <row r="103" spans="1:15">
      <c r="A103" s="200" t="s">
        <v>757</v>
      </c>
      <c r="B103" s="201">
        <v>456</v>
      </c>
      <c r="C103" s="202" t="s">
        <v>766</v>
      </c>
      <c r="D103" s="970" t="s">
        <v>1713</v>
      </c>
      <c r="E103" s="1305"/>
      <c r="F103" s="301" t="s">
        <v>570</v>
      </c>
      <c r="G103" s="1307">
        <f t="shared" si="32"/>
        <v>0</v>
      </c>
      <c r="H103" s="1308">
        <v>0</v>
      </c>
      <c r="I103" s="1308">
        <f t="shared" si="39"/>
        <v>0</v>
      </c>
      <c r="J103" s="1307">
        <f t="shared" si="40"/>
        <v>0</v>
      </c>
      <c r="K103" s="1307"/>
      <c r="L103" s="1309"/>
      <c r="M103" s="1308">
        <f t="shared" si="41"/>
        <v>0</v>
      </c>
      <c r="N103" s="1307">
        <f t="shared" si="42"/>
        <v>0</v>
      </c>
      <c r="O103" s="1308">
        <v>6</v>
      </c>
    </row>
    <row r="104" spans="1:15">
      <c r="A104" s="200" t="s">
        <v>760</v>
      </c>
      <c r="B104" s="201">
        <v>456</v>
      </c>
      <c r="C104" s="202" t="s">
        <v>768</v>
      </c>
      <c r="D104" s="202" t="s">
        <v>769</v>
      </c>
      <c r="E104" s="1305"/>
      <c r="F104" s="301" t="s">
        <v>570</v>
      </c>
      <c r="G104" s="1307">
        <f t="shared" si="32"/>
        <v>0</v>
      </c>
      <c r="H104" s="1308">
        <v>0</v>
      </c>
      <c r="I104" s="1308">
        <f t="shared" si="39"/>
        <v>0</v>
      </c>
      <c r="J104" s="1307">
        <f t="shared" si="40"/>
        <v>0</v>
      </c>
      <c r="K104" s="1307"/>
      <c r="L104" s="1309"/>
      <c r="M104" s="1308">
        <f t="shared" si="41"/>
        <v>0</v>
      </c>
      <c r="N104" s="1307">
        <f t="shared" si="42"/>
        <v>0</v>
      </c>
      <c r="O104" s="1308">
        <v>6</v>
      </c>
    </row>
    <row r="105" spans="1:15">
      <c r="A105" s="200" t="s">
        <v>763</v>
      </c>
      <c r="B105" s="201">
        <v>456</v>
      </c>
      <c r="C105" s="202" t="s">
        <v>771</v>
      </c>
      <c r="D105" s="202" t="s">
        <v>772</v>
      </c>
      <c r="E105" s="1305"/>
      <c r="F105" s="301" t="s">
        <v>570</v>
      </c>
      <c r="G105" s="1307">
        <f t="shared" si="32"/>
        <v>0</v>
      </c>
      <c r="H105" s="1308">
        <v>0</v>
      </c>
      <c r="I105" s="1308">
        <f t="shared" si="39"/>
        <v>0</v>
      </c>
      <c r="J105" s="1307">
        <f t="shared" si="40"/>
        <v>0</v>
      </c>
      <c r="K105" s="1307"/>
      <c r="L105" s="1309"/>
      <c r="M105" s="1308">
        <f t="shared" si="41"/>
        <v>0</v>
      </c>
      <c r="N105" s="1307">
        <f t="shared" si="42"/>
        <v>0</v>
      </c>
      <c r="O105" s="1308">
        <v>6</v>
      </c>
    </row>
    <row r="106" spans="1:15">
      <c r="A106" s="200" t="s">
        <v>765</v>
      </c>
      <c r="B106" s="201">
        <v>456</v>
      </c>
      <c r="C106" s="202" t="s">
        <v>774</v>
      </c>
      <c r="D106" s="970" t="s">
        <v>1714</v>
      </c>
      <c r="E106" s="1305"/>
      <c r="F106" s="301" t="s">
        <v>570</v>
      </c>
      <c r="G106" s="1307">
        <f t="shared" si="32"/>
        <v>0</v>
      </c>
      <c r="H106" s="1308">
        <v>0</v>
      </c>
      <c r="I106" s="1308">
        <f t="shared" si="39"/>
        <v>0</v>
      </c>
      <c r="J106" s="1307">
        <f t="shared" si="40"/>
        <v>0</v>
      </c>
      <c r="K106" s="1307"/>
      <c r="L106" s="1309"/>
      <c r="M106" s="1308">
        <f t="shared" si="41"/>
        <v>0</v>
      </c>
      <c r="N106" s="1307">
        <f t="shared" si="42"/>
        <v>0</v>
      </c>
      <c r="O106" s="1308">
        <v>6</v>
      </c>
    </row>
    <row r="107" spans="1:15">
      <c r="A107" s="200" t="s">
        <v>767</v>
      </c>
      <c r="B107" s="201">
        <v>456</v>
      </c>
      <c r="C107" s="202" t="s">
        <v>776</v>
      </c>
      <c r="D107" s="202" t="s">
        <v>777</v>
      </c>
      <c r="E107" s="1305"/>
      <c r="F107" s="301" t="s">
        <v>570</v>
      </c>
      <c r="G107" s="1307">
        <f t="shared" si="32"/>
        <v>0</v>
      </c>
      <c r="H107" s="1308">
        <v>0</v>
      </c>
      <c r="I107" s="1308">
        <f t="shared" si="39"/>
        <v>0</v>
      </c>
      <c r="J107" s="1307">
        <f t="shared" si="40"/>
        <v>0</v>
      </c>
      <c r="K107" s="1307"/>
      <c r="L107" s="1309"/>
      <c r="M107" s="1308">
        <f t="shared" si="41"/>
        <v>0</v>
      </c>
      <c r="N107" s="1307">
        <f t="shared" si="42"/>
        <v>0</v>
      </c>
      <c r="O107" s="1308">
        <v>6</v>
      </c>
    </row>
    <row r="108" spans="1:15">
      <c r="A108" s="200" t="s">
        <v>770</v>
      </c>
      <c r="B108" s="201">
        <v>456</v>
      </c>
      <c r="C108" s="202" t="s">
        <v>779</v>
      </c>
      <c r="D108" s="202" t="s">
        <v>780</v>
      </c>
      <c r="E108" s="1305"/>
      <c r="F108" s="301" t="s">
        <v>569</v>
      </c>
      <c r="G108" s="1307">
        <f t="shared" si="32"/>
        <v>0</v>
      </c>
      <c r="H108" s="1308">
        <v>0</v>
      </c>
      <c r="I108" s="1308">
        <f t="shared" si="39"/>
        <v>0</v>
      </c>
      <c r="J108" s="1307">
        <f t="shared" si="40"/>
        <v>0</v>
      </c>
      <c r="K108" s="1310" t="s">
        <v>554</v>
      </c>
      <c r="L108" s="1309"/>
      <c r="M108" s="1308">
        <f t="shared" si="41"/>
        <v>0</v>
      </c>
      <c r="N108" s="1307">
        <f>IF(F108=$N$2,E108,0)</f>
        <v>0</v>
      </c>
      <c r="O108" s="1308">
        <v>2</v>
      </c>
    </row>
    <row r="109" spans="1:15">
      <c r="A109" s="200" t="s">
        <v>773</v>
      </c>
      <c r="B109" s="201">
        <v>456</v>
      </c>
      <c r="C109" s="202" t="s">
        <v>782</v>
      </c>
      <c r="D109" s="202" t="s">
        <v>783</v>
      </c>
      <c r="E109" s="1317"/>
      <c r="F109" s="301" t="s">
        <v>569</v>
      </c>
      <c r="G109" s="1307">
        <f t="shared" si="32"/>
        <v>0</v>
      </c>
      <c r="H109" s="1308">
        <v>0</v>
      </c>
      <c r="I109" s="1308">
        <f t="shared" si="39"/>
        <v>0</v>
      </c>
      <c r="J109" s="1307">
        <f t="shared" si="40"/>
        <v>0</v>
      </c>
      <c r="K109" s="1310" t="s">
        <v>554</v>
      </c>
      <c r="L109" s="1317"/>
      <c r="M109" s="1308">
        <f t="shared" si="41"/>
        <v>0</v>
      </c>
      <c r="N109" s="1307">
        <f>IF(F109=$N$2,E109,0)</f>
        <v>0</v>
      </c>
      <c r="O109" s="1308">
        <v>2</v>
      </c>
    </row>
    <row r="110" spans="1:15">
      <c r="A110" s="200" t="s">
        <v>775</v>
      </c>
      <c r="B110" s="201">
        <v>456</v>
      </c>
      <c r="C110" s="202" t="s">
        <v>786</v>
      </c>
      <c r="D110" s="202" t="s">
        <v>787</v>
      </c>
      <c r="E110" s="1305">
        <v>160459.89000000001</v>
      </c>
      <c r="F110" s="301" t="s">
        <v>568</v>
      </c>
      <c r="G110" s="1307">
        <f t="shared" si="32"/>
        <v>160459.89000000001</v>
      </c>
      <c r="H110" s="1308">
        <v>0</v>
      </c>
      <c r="I110" s="1308">
        <f t="shared" si="39"/>
        <v>160459.89000000001</v>
      </c>
      <c r="J110" s="1307">
        <f t="shared" si="40"/>
        <v>0</v>
      </c>
      <c r="K110" s="1307"/>
      <c r="L110" s="1309"/>
      <c r="M110" s="1308">
        <f t="shared" si="41"/>
        <v>0</v>
      </c>
      <c r="N110" s="1307">
        <f t="shared" ref="N110:N125" si="43">IF(F110=$N$2,E110,0)</f>
        <v>0</v>
      </c>
      <c r="O110" s="1308">
        <v>1</v>
      </c>
    </row>
    <row r="111" spans="1:15">
      <c r="A111" s="200" t="s">
        <v>778</v>
      </c>
      <c r="B111" s="201">
        <v>456</v>
      </c>
      <c r="C111" s="202" t="s">
        <v>790</v>
      </c>
      <c r="D111" s="202" t="s">
        <v>791</v>
      </c>
      <c r="E111" s="1305">
        <v>5488781.4199999999</v>
      </c>
      <c r="F111" s="301" t="s">
        <v>568</v>
      </c>
      <c r="G111" s="1307">
        <f t="shared" si="32"/>
        <v>5488781.4199999999</v>
      </c>
      <c r="H111" s="1308">
        <v>0</v>
      </c>
      <c r="I111" s="1308">
        <f t="shared" si="39"/>
        <v>5488781.4199999999</v>
      </c>
      <c r="J111" s="1307">
        <f t="shared" si="40"/>
        <v>0</v>
      </c>
      <c r="K111" s="1307"/>
      <c r="L111" s="1309"/>
      <c r="M111" s="1308">
        <f t="shared" si="41"/>
        <v>0</v>
      </c>
      <c r="N111" s="1307">
        <f t="shared" si="43"/>
        <v>0</v>
      </c>
      <c r="O111" s="1308">
        <v>4</v>
      </c>
    </row>
    <row r="112" spans="1:15">
      <c r="A112" s="200" t="s">
        <v>781</v>
      </c>
      <c r="B112" s="201">
        <v>456</v>
      </c>
      <c r="C112" s="202" t="s">
        <v>793</v>
      </c>
      <c r="D112" s="202" t="s">
        <v>794</v>
      </c>
      <c r="E112" s="1305">
        <v>132812</v>
      </c>
      <c r="F112" s="301" t="s">
        <v>568</v>
      </c>
      <c r="G112" s="1307">
        <f t="shared" si="32"/>
        <v>132812</v>
      </c>
      <c r="H112" s="1308">
        <v>0</v>
      </c>
      <c r="I112" s="1308">
        <f t="shared" si="39"/>
        <v>132812</v>
      </c>
      <c r="J112" s="1307">
        <f t="shared" si="40"/>
        <v>0</v>
      </c>
      <c r="K112" s="1307"/>
      <c r="L112" s="1309"/>
      <c r="M112" s="1308">
        <f t="shared" si="41"/>
        <v>0</v>
      </c>
      <c r="N112" s="1307">
        <f t="shared" si="43"/>
        <v>0</v>
      </c>
      <c r="O112" s="1308">
        <v>4</v>
      </c>
    </row>
    <row r="113" spans="1:15">
      <c r="A113" s="971" t="s">
        <v>784</v>
      </c>
      <c r="B113" s="201">
        <v>456</v>
      </c>
      <c r="C113" s="202" t="s">
        <v>796</v>
      </c>
      <c r="D113" s="202" t="s">
        <v>797</v>
      </c>
      <c r="E113" s="1305"/>
      <c r="F113" s="301" t="s">
        <v>568</v>
      </c>
      <c r="G113" s="1307">
        <f t="shared" si="32"/>
        <v>0</v>
      </c>
      <c r="H113" s="1308">
        <v>0</v>
      </c>
      <c r="I113" s="1308">
        <f t="shared" si="39"/>
        <v>0</v>
      </c>
      <c r="J113" s="1307">
        <f t="shared" si="40"/>
        <v>0</v>
      </c>
      <c r="K113" s="1307"/>
      <c r="L113" s="1309"/>
      <c r="M113" s="1308">
        <f t="shared" si="41"/>
        <v>0</v>
      </c>
      <c r="N113" s="1307">
        <f t="shared" si="43"/>
        <v>0</v>
      </c>
      <c r="O113" s="1308">
        <v>4</v>
      </c>
    </row>
    <row r="114" spans="1:15">
      <c r="A114" s="971" t="s">
        <v>785</v>
      </c>
      <c r="B114" s="201">
        <v>456</v>
      </c>
      <c r="C114" s="202" t="s">
        <v>799</v>
      </c>
      <c r="D114" s="202" t="s">
        <v>800</v>
      </c>
      <c r="E114" s="1305"/>
      <c r="F114" s="301" t="s">
        <v>568</v>
      </c>
      <c r="G114" s="1307">
        <f t="shared" si="32"/>
        <v>0</v>
      </c>
      <c r="H114" s="1308">
        <v>0</v>
      </c>
      <c r="I114" s="1308">
        <f t="shared" si="39"/>
        <v>0</v>
      </c>
      <c r="J114" s="1307">
        <f t="shared" si="40"/>
        <v>0</v>
      </c>
      <c r="K114" s="1307"/>
      <c r="L114" s="1309"/>
      <c r="M114" s="1308">
        <f t="shared" si="41"/>
        <v>0</v>
      </c>
      <c r="N114" s="1307">
        <f t="shared" si="43"/>
        <v>0</v>
      </c>
      <c r="O114" s="1308">
        <v>1</v>
      </c>
    </row>
    <row r="115" spans="1:15">
      <c r="A115" s="971" t="s">
        <v>788</v>
      </c>
      <c r="B115" s="201">
        <v>456</v>
      </c>
      <c r="C115" s="202" t="s">
        <v>802</v>
      </c>
      <c r="D115" s="202" t="s">
        <v>803</v>
      </c>
      <c r="E115" s="1305"/>
      <c r="F115" s="301" t="s">
        <v>568</v>
      </c>
      <c r="G115" s="1307">
        <f t="shared" si="32"/>
        <v>0</v>
      </c>
      <c r="H115" s="1308">
        <v>0</v>
      </c>
      <c r="I115" s="1308">
        <f t="shared" si="39"/>
        <v>0</v>
      </c>
      <c r="J115" s="1307">
        <f t="shared" si="40"/>
        <v>0</v>
      </c>
      <c r="K115" s="1307"/>
      <c r="L115" s="1309"/>
      <c r="M115" s="1308">
        <f t="shared" si="41"/>
        <v>0</v>
      </c>
      <c r="N115" s="1307">
        <f t="shared" si="43"/>
        <v>0</v>
      </c>
      <c r="O115" s="1308">
        <v>4</v>
      </c>
    </row>
    <row r="116" spans="1:15">
      <c r="A116" s="971" t="s">
        <v>789</v>
      </c>
      <c r="B116" s="201">
        <v>456</v>
      </c>
      <c r="C116" s="202" t="s">
        <v>805</v>
      </c>
      <c r="D116" s="202" t="s">
        <v>806</v>
      </c>
      <c r="E116" s="1305">
        <v>3221704.71</v>
      </c>
      <c r="F116" s="301" t="s">
        <v>568</v>
      </c>
      <c r="G116" s="1307">
        <f t="shared" si="32"/>
        <v>3221704.71</v>
      </c>
      <c r="H116" s="1309">
        <v>24536.999769999999</v>
      </c>
      <c r="I116" s="1308">
        <f t="shared" si="39"/>
        <v>3197167.7102299999</v>
      </c>
      <c r="J116" s="1307">
        <f t="shared" si="40"/>
        <v>0</v>
      </c>
      <c r="K116" s="1307"/>
      <c r="L116" s="1309"/>
      <c r="M116" s="1308">
        <f t="shared" si="41"/>
        <v>0</v>
      </c>
      <c r="N116" s="1307">
        <f t="shared" si="43"/>
        <v>0</v>
      </c>
      <c r="O116" s="1308">
        <v>8</v>
      </c>
    </row>
    <row r="117" spans="1:15">
      <c r="A117" s="971" t="s">
        <v>792</v>
      </c>
      <c r="B117" s="201">
        <v>456</v>
      </c>
      <c r="C117" s="202" t="s">
        <v>808</v>
      </c>
      <c r="D117" s="202" t="s">
        <v>809</v>
      </c>
      <c r="E117" s="1305">
        <v>14232878.529999999</v>
      </c>
      <c r="F117" s="301" t="s">
        <v>568</v>
      </c>
      <c r="G117" s="1307">
        <f t="shared" si="32"/>
        <v>14232878.529999999</v>
      </c>
      <c r="H117" s="1308">
        <v>0</v>
      </c>
      <c r="I117" s="1308">
        <f t="shared" si="39"/>
        <v>14232878.529999999</v>
      </c>
      <c r="J117" s="1307">
        <f t="shared" si="40"/>
        <v>0</v>
      </c>
      <c r="K117" s="1307"/>
      <c r="L117" s="1309"/>
      <c r="M117" s="1308">
        <f t="shared" si="41"/>
        <v>0</v>
      </c>
      <c r="N117" s="1307">
        <f t="shared" si="43"/>
        <v>0</v>
      </c>
      <c r="O117" s="1308">
        <v>4</v>
      </c>
    </row>
    <row r="118" spans="1:15">
      <c r="A118" s="971" t="s">
        <v>795</v>
      </c>
      <c r="B118" s="201">
        <v>456</v>
      </c>
      <c r="C118" s="202" t="s">
        <v>811</v>
      </c>
      <c r="D118" s="202" t="s">
        <v>812</v>
      </c>
      <c r="E118" s="1305">
        <v>2545.0500000000002</v>
      </c>
      <c r="F118" s="301" t="s">
        <v>568</v>
      </c>
      <c r="G118" s="1307">
        <f t="shared" si="32"/>
        <v>2545.0500000000002</v>
      </c>
      <c r="H118" s="1308">
        <v>0</v>
      </c>
      <c r="I118" s="1308">
        <f t="shared" si="39"/>
        <v>2545.0500000000002</v>
      </c>
      <c r="J118" s="1307">
        <f t="shared" si="40"/>
        <v>0</v>
      </c>
      <c r="K118" s="1307"/>
      <c r="L118" s="1309"/>
      <c r="M118" s="1308">
        <f t="shared" si="41"/>
        <v>0</v>
      </c>
      <c r="N118" s="1307">
        <f t="shared" si="43"/>
        <v>0</v>
      </c>
      <c r="O118" s="1308">
        <v>4</v>
      </c>
    </row>
    <row r="119" spans="1:15">
      <c r="A119" s="971" t="s">
        <v>798</v>
      </c>
      <c r="B119" s="201">
        <v>456</v>
      </c>
      <c r="C119" s="202" t="s">
        <v>814</v>
      </c>
      <c r="D119" s="202" t="s">
        <v>815</v>
      </c>
      <c r="E119" s="1305">
        <v>1477354.9</v>
      </c>
      <c r="F119" s="301" t="s">
        <v>568</v>
      </c>
      <c r="G119" s="1307">
        <f t="shared" si="32"/>
        <v>1477354.9</v>
      </c>
      <c r="H119" s="1308">
        <v>0</v>
      </c>
      <c r="I119" s="1308">
        <f t="shared" si="39"/>
        <v>1477354.9</v>
      </c>
      <c r="J119" s="1307">
        <f t="shared" si="40"/>
        <v>0</v>
      </c>
      <c r="K119" s="1307"/>
      <c r="L119" s="1309"/>
      <c r="M119" s="1308">
        <f t="shared" si="41"/>
        <v>0</v>
      </c>
      <c r="N119" s="1307">
        <f t="shared" si="43"/>
        <v>0</v>
      </c>
      <c r="O119" s="1308">
        <v>6</v>
      </c>
    </row>
    <row r="120" spans="1:15">
      <c r="A120" s="971" t="s">
        <v>801</v>
      </c>
      <c r="B120" s="201">
        <v>456</v>
      </c>
      <c r="C120" s="200" t="s">
        <v>1377</v>
      </c>
      <c r="D120" s="202" t="s">
        <v>1376</v>
      </c>
      <c r="E120" s="1305"/>
      <c r="F120" s="301" t="s">
        <v>568</v>
      </c>
      <c r="G120" s="1307">
        <f t="shared" si="32"/>
        <v>0</v>
      </c>
      <c r="H120" s="1308">
        <v>0</v>
      </c>
      <c r="I120" s="1308">
        <f t="shared" si="39"/>
        <v>0</v>
      </c>
      <c r="J120" s="1307">
        <f t="shared" si="40"/>
        <v>0</v>
      </c>
      <c r="K120" s="1307"/>
      <c r="L120" s="1309"/>
      <c r="M120" s="1308">
        <f t="shared" si="41"/>
        <v>0</v>
      </c>
      <c r="N120" s="1307">
        <f t="shared" si="43"/>
        <v>0</v>
      </c>
      <c r="O120" s="1308">
        <v>1</v>
      </c>
    </row>
    <row r="121" spans="1:15">
      <c r="A121" s="971" t="s">
        <v>804</v>
      </c>
      <c r="B121" s="201">
        <v>456</v>
      </c>
      <c r="C121" s="201">
        <v>4186911</v>
      </c>
      <c r="D121" s="218" t="s">
        <v>2062</v>
      </c>
      <c r="E121" s="1305">
        <v>3353919</v>
      </c>
      <c r="F121" s="301" t="s">
        <v>570</v>
      </c>
      <c r="G121" s="1307">
        <f t="shared" si="32"/>
        <v>0</v>
      </c>
      <c r="H121" s="1308">
        <v>0</v>
      </c>
      <c r="I121" s="1308">
        <f t="shared" si="39"/>
        <v>0</v>
      </c>
      <c r="J121" s="1307">
        <f t="shared" si="40"/>
        <v>0</v>
      </c>
      <c r="K121" s="1307"/>
      <c r="L121" s="1309"/>
      <c r="M121" s="1308">
        <f t="shared" si="41"/>
        <v>0</v>
      </c>
      <c r="N121" s="1307">
        <f t="shared" si="43"/>
        <v>3353919</v>
      </c>
      <c r="O121" s="1308">
        <v>6</v>
      </c>
    </row>
    <row r="122" spans="1:15">
      <c r="A122" s="971" t="s">
        <v>807</v>
      </c>
      <c r="B122" s="201">
        <v>456</v>
      </c>
      <c r="C122" s="201">
        <v>4186925</v>
      </c>
      <c r="D122" s="218" t="s">
        <v>2063</v>
      </c>
      <c r="E122" s="1305">
        <v>421170201.56</v>
      </c>
      <c r="F122" s="301" t="s">
        <v>570</v>
      </c>
      <c r="G122" s="1307">
        <f t="shared" si="32"/>
        <v>0</v>
      </c>
      <c r="H122" s="1308">
        <v>0</v>
      </c>
      <c r="I122" s="1308">
        <f t="shared" si="39"/>
        <v>0</v>
      </c>
      <c r="J122" s="1307">
        <f t="shared" si="40"/>
        <v>0</v>
      </c>
      <c r="K122" s="1307"/>
      <c r="L122" s="1309"/>
      <c r="M122" s="1308">
        <f t="shared" si="41"/>
        <v>0</v>
      </c>
      <c r="N122" s="1307">
        <f t="shared" si="43"/>
        <v>421170201.56</v>
      </c>
      <c r="O122" s="1308">
        <v>6</v>
      </c>
    </row>
    <row r="123" spans="1:15" s="1048" customFormat="1">
      <c r="A123" s="971" t="s">
        <v>810</v>
      </c>
      <c r="B123" s="1250">
        <v>456</v>
      </c>
      <c r="C123" s="1250">
        <v>4186132</v>
      </c>
      <c r="D123" s="1249" t="s">
        <v>2394</v>
      </c>
      <c r="E123" s="1305">
        <v>-474020.3</v>
      </c>
      <c r="F123" s="1069" t="s">
        <v>568</v>
      </c>
      <c r="G123" s="1307">
        <f t="shared" ref="G123:G133" si="44">IF(F123=$G$2,E123,0)</f>
        <v>-474020.3</v>
      </c>
      <c r="H123" s="1308">
        <v>0</v>
      </c>
      <c r="I123" s="1308">
        <f t="shared" ref="I123:I128" si="45">G123-H123</f>
        <v>-474020.3</v>
      </c>
      <c r="J123" s="1307">
        <f t="shared" ref="J123:J128" si="46">IF(F123=$J$2,E123,0)</f>
        <v>0</v>
      </c>
      <c r="K123" s="1307"/>
      <c r="L123" s="1309"/>
      <c r="M123" s="1308">
        <f t="shared" ref="M123:M128" si="47">J123-L123</f>
        <v>0</v>
      </c>
      <c r="N123" s="1307">
        <f t="shared" si="43"/>
        <v>0</v>
      </c>
      <c r="O123" s="1319">
        <v>4</v>
      </c>
    </row>
    <row r="124" spans="1:15" s="1048" customFormat="1">
      <c r="A124" s="971" t="s">
        <v>813</v>
      </c>
      <c r="B124" s="1250">
        <v>456</v>
      </c>
      <c r="C124" s="1250">
        <v>4186116</v>
      </c>
      <c r="D124" s="1249" t="s">
        <v>2395</v>
      </c>
      <c r="E124" s="1305"/>
      <c r="F124" s="1069" t="s">
        <v>568</v>
      </c>
      <c r="G124" s="1307">
        <f t="shared" si="44"/>
        <v>0</v>
      </c>
      <c r="H124" s="1308">
        <v>0</v>
      </c>
      <c r="I124" s="1308">
        <f t="shared" si="45"/>
        <v>0</v>
      </c>
      <c r="J124" s="1307">
        <f t="shared" si="46"/>
        <v>0</v>
      </c>
      <c r="K124" s="1307"/>
      <c r="L124" s="1309"/>
      <c r="M124" s="1308">
        <f t="shared" si="47"/>
        <v>0</v>
      </c>
      <c r="N124" s="1307">
        <f t="shared" si="43"/>
        <v>0</v>
      </c>
      <c r="O124" s="1319">
        <v>4</v>
      </c>
    </row>
    <row r="125" spans="1:15" s="1048" customFormat="1">
      <c r="A125" s="971" t="s">
        <v>1696</v>
      </c>
      <c r="B125" s="1250">
        <v>456</v>
      </c>
      <c r="C125" s="1250">
        <v>4186115</v>
      </c>
      <c r="D125" s="14" t="s">
        <v>2396</v>
      </c>
      <c r="E125" s="1305">
        <v>1105061.6399999999</v>
      </c>
      <c r="F125" s="1069" t="s">
        <v>568</v>
      </c>
      <c r="G125" s="1307">
        <f t="shared" si="44"/>
        <v>1105061.6399999999</v>
      </c>
      <c r="H125" s="1308">
        <v>0</v>
      </c>
      <c r="I125" s="1308">
        <f t="shared" si="45"/>
        <v>1105061.6399999999</v>
      </c>
      <c r="J125" s="1307">
        <f t="shared" si="46"/>
        <v>0</v>
      </c>
      <c r="K125" s="1307"/>
      <c r="L125" s="1309"/>
      <c r="M125" s="1308">
        <f t="shared" si="47"/>
        <v>0</v>
      </c>
      <c r="N125" s="1307">
        <f t="shared" si="43"/>
        <v>0</v>
      </c>
      <c r="O125" s="1319">
        <v>4</v>
      </c>
    </row>
    <row r="126" spans="1:15" s="1048" customFormat="1">
      <c r="A126" s="971" t="s">
        <v>1697</v>
      </c>
      <c r="B126" s="1250">
        <v>456</v>
      </c>
      <c r="C126" s="1250">
        <v>4186156</v>
      </c>
      <c r="D126" s="1249" t="s">
        <v>2397</v>
      </c>
      <c r="E126" s="1305">
        <v>108809.09</v>
      </c>
      <c r="F126" s="1069" t="s">
        <v>570</v>
      </c>
      <c r="G126" s="1307">
        <f>H126+I126</f>
        <v>6626.4735810000002</v>
      </c>
      <c r="H126" s="1308">
        <f>E126*D253</f>
        <v>6626.4735810000002</v>
      </c>
      <c r="I126" s="1308">
        <v>0</v>
      </c>
      <c r="J126" s="1307">
        <f t="shared" si="46"/>
        <v>0</v>
      </c>
      <c r="K126" s="1307"/>
      <c r="L126" s="1309"/>
      <c r="M126" s="1308">
        <f>J126-L126</f>
        <v>0</v>
      </c>
      <c r="N126" s="1307">
        <f>IF(F126=$N$2,E126-H126,0)</f>
        <v>102182.616419</v>
      </c>
      <c r="O126" s="1319" t="s">
        <v>647</v>
      </c>
    </row>
    <row r="127" spans="1:15" s="1048" customFormat="1">
      <c r="A127" s="971" t="s">
        <v>2064</v>
      </c>
      <c r="B127" s="1250">
        <v>456</v>
      </c>
      <c r="C127" s="970" t="s">
        <v>2398</v>
      </c>
      <c r="D127" s="1249" t="s">
        <v>2399</v>
      </c>
      <c r="E127" s="1305">
        <v>82001189.650000006</v>
      </c>
      <c r="F127" s="1069" t="s">
        <v>568</v>
      </c>
      <c r="G127" s="1307">
        <f t="shared" si="44"/>
        <v>82001189.650000006</v>
      </c>
      <c r="H127" s="1308">
        <v>0</v>
      </c>
      <c r="I127" s="1308">
        <f t="shared" si="45"/>
        <v>82001189.650000006</v>
      </c>
      <c r="J127" s="1307">
        <f t="shared" si="46"/>
        <v>0</v>
      </c>
      <c r="K127" s="1307"/>
      <c r="L127" s="1309"/>
      <c r="M127" s="1308">
        <f t="shared" si="47"/>
        <v>0</v>
      </c>
      <c r="N127" s="1307">
        <f>IF(F127=$N$2,E127,0)</f>
        <v>0</v>
      </c>
      <c r="O127" s="1319">
        <v>4</v>
      </c>
    </row>
    <row r="128" spans="1:15" s="1048" customFormat="1">
      <c r="A128" s="971" t="s">
        <v>2065</v>
      </c>
      <c r="B128" s="1250">
        <v>456</v>
      </c>
      <c r="C128" s="970" t="s">
        <v>695</v>
      </c>
      <c r="D128" s="1249" t="s">
        <v>2400</v>
      </c>
      <c r="E128" s="1305"/>
      <c r="F128" s="1069" t="s">
        <v>568</v>
      </c>
      <c r="G128" s="1307">
        <f t="shared" si="44"/>
        <v>0</v>
      </c>
      <c r="H128" s="1308">
        <f>G128</f>
        <v>0</v>
      </c>
      <c r="I128" s="1308">
        <f t="shared" si="45"/>
        <v>0</v>
      </c>
      <c r="J128" s="1307">
        <f t="shared" si="46"/>
        <v>0</v>
      </c>
      <c r="K128" s="1307"/>
      <c r="L128" s="1309"/>
      <c r="M128" s="1308">
        <f t="shared" si="47"/>
        <v>0</v>
      </c>
      <c r="N128" s="1307">
        <f>IF(F128=$N$2,E128,0)</f>
        <v>0</v>
      </c>
      <c r="O128" s="1319">
        <v>5</v>
      </c>
    </row>
    <row r="129" spans="1:15" s="1048" customFormat="1">
      <c r="A129" s="971" t="s">
        <v>2479</v>
      </c>
      <c r="B129" s="1250">
        <v>456</v>
      </c>
      <c r="C129" s="1250">
        <v>4186732</v>
      </c>
      <c r="D129" s="1249" t="s">
        <v>2480</v>
      </c>
      <c r="E129" s="1305">
        <v>64000</v>
      </c>
      <c r="F129" s="1069" t="s">
        <v>569</v>
      </c>
      <c r="G129" s="1307">
        <f t="shared" si="44"/>
        <v>0</v>
      </c>
      <c r="H129" s="1308">
        <v>0</v>
      </c>
      <c r="I129" s="1308">
        <f>G129-H129</f>
        <v>0</v>
      </c>
      <c r="J129" s="1307">
        <f>IF(F129=$J$2,E129,0)</f>
        <v>64000</v>
      </c>
      <c r="K129" s="1318" t="s">
        <v>610</v>
      </c>
      <c r="L129" s="1309">
        <v>0</v>
      </c>
      <c r="M129" s="1308">
        <f>J129-L129</f>
        <v>64000</v>
      </c>
      <c r="N129" s="1307">
        <f>IF(F129=$N$2,E129,0)</f>
        <v>0</v>
      </c>
      <c r="O129" s="1319">
        <v>2</v>
      </c>
    </row>
    <row r="130" spans="1:15">
      <c r="A130" s="200" t="s">
        <v>2761</v>
      </c>
      <c r="B130" s="201">
        <v>456</v>
      </c>
      <c r="C130" s="202">
        <v>4171023</v>
      </c>
      <c r="D130" s="218" t="s">
        <v>2762</v>
      </c>
      <c r="E130" s="1306">
        <v>14926743.02</v>
      </c>
      <c r="F130" s="301" t="s">
        <v>570</v>
      </c>
      <c r="G130" s="1337">
        <f t="shared" si="44"/>
        <v>0</v>
      </c>
      <c r="H130" s="1321">
        <v>0</v>
      </c>
      <c r="I130" s="1321">
        <f t="shared" ref="I130:I131" si="48">G130-H130</f>
        <v>0</v>
      </c>
      <c r="J130" s="1337">
        <f t="shared" ref="J130:J131" si="49">IF(F130=$J$2,E130,0)</f>
        <v>0</v>
      </c>
      <c r="K130" s="1337"/>
      <c r="L130" s="1309"/>
      <c r="M130" s="1321">
        <f t="shared" ref="M130:M131" si="50">J130-L130</f>
        <v>0</v>
      </c>
      <c r="N130" s="1337">
        <f t="shared" ref="N130:N131" si="51">IF(F130=$N$2,E130,0)</f>
        <v>14926743.02</v>
      </c>
      <c r="O130" s="1321">
        <v>6</v>
      </c>
    </row>
    <row r="131" spans="1:15" s="1048" customFormat="1">
      <c r="A131" s="200" t="s">
        <v>2763</v>
      </c>
      <c r="B131" s="201">
        <v>456</v>
      </c>
      <c r="C131" s="202">
        <v>4186182</v>
      </c>
      <c r="D131" s="218" t="s">
        <v>2764</v>
      </c>
      <c r="E131" s="1306">
        <v>60000</v>
      </c>
      <c r="F131" s="301" t="s">
        <v>570</v>
      </c>
      <c r="G131" s="1337">
        <f t="shared" si="44"/>
        <v>0</v>
      </c>
      <c r="H131" s="1321">
        <v>0</v>
      </c>
      <c r="I131" s="1321">
        <f t="shared" si="48"/>
        <v>0</v>
      </c>
      <c r="J131" s="1337">
        <f t="shared" si="49"/>
        <v>0</v>
      </c>
      <c r="K131" s="1337"/>
      <c r="L131" s="1309"/>
      <c r="M131" s="1321">
        <f t="shared" si="50"/>
        <v>0</v>
      </c>
      <c r="N131" s="1337">
        <f t="shared" si="51"/>
        <v>60000</v>
      </c>
      <c r="O131" s="1321">
        <v>6</v>
      </c>
    </row>
    <row r="132" spans="1:15" s="1048" customFormat="1">
      <c r="A132" s="1196" t="s">
        <v>2765</v>
      </c>
      <c r="B132" s="1326">
        <v>456</v>
      </c>
      <c r="C132" s="1330" t="s">
        <v>2766</v>
      </c>
      <c r="D132" s="1331" t="s">
        <v>2767</v>
      </c>
      <c r="E132" s="1311">
        <v>-688484.85</v>
      </c>
      <c r="F132" s="1151" t="s">
        <v>568</v>
      </c>
      <c r="G132" s="1306">
        <f t="shared" si="44"/>
        <v>-688484.85</v>
      </c>
      <c r="H132" s="1309">
        <v>0</v>
      </c>
      <c r="I132" s="1309">
        <f t="shared" ref="I132:I133" si="52">G132-H132</f>
        <v>-688484.85</v>
      </c>
      <c r="J132" s="1305">
        <f t="shared" ref="J132:J133" si="53">IF(F132=$J$2,E132,0)</f>
        <v>0</v>
      </c>
      <c r="K132" s="1151"/>
      <c r="L132" s="738"/>
      <c r="M132" s="1309">
        <f t="shared" ref="M132:M133" si="54">J132-L132</f>
        <v>0</v>
      </c>
      <c r="N132" s="1305">
        <f t="shared" ref="N132:N133" si="55">IF(F132=$N$2,E132,0)</f>
        <v>0</v>
      </c>
      <c r="O132" s="1332">
        <v>1</v>
      </c>
    </row>
    <row r="133" spans="1:15" s="1048" customFormat="1">
      <c r="A133" s="1196" t="s">
        <v>2768</v>
      </c>
      <c r="B133" s="1326">
        <v>456</v>
      </c>
      <c r="C133" s="1330" t="s">
        <v>2769</v>
      </c>
      <c r="D133" s="1331" t="s">
        <v>2770</v>
      </c>
      <c r="E133" s="1311">
        <v>45</v>
      </c>
      <c r="F133" s="1151" t="s">
        <v>568</v>
      </c>
      <c r="G133" s="1306">
        <f t="shared" si="44"/>
        <v>45</v>
      </c>
      <c r="H133" s="1309">
        <v>0</v>
      </c>
      <c r="I133" s="1309">
        <f t="shared" si="52"/>
        <v>45</v>
      </c>
      <c r="J133" s="1305">
        <f t="shared" si="53"/>
        <v>0</v>
      </c>
      <c r="K133" s="1151"/>
      <c r="L133" s="738"/>
      <c r="M133" s="1309">
        <f t="shared" si="54"/>
        <v>0</v>
      </c>
      <c r="N133" s="1305">
        <f t="shared" si="55"/>
        <v>0</v>
      </c>
      <c r="O133" s="1332">
        <v>1</v>
      </c>
    </row>
    <row r="134" spans="1:15">
      <c r="A134" s="331"/>
      <c r="B134" s="327"/>
      <c r="C134" s="326"/>
      <c r="D134" s="328"/>
      <c r="E134" s="301"/>
      <c r="F134" s="301"/>
      <c r="G134" s="305"/>
      <c r="H134" s="303"/>
      <c r="I134" s="303"/>
      <c r="J134" s="301"/>
      <c r="K134" s="301"/>
      <c r="L134" s="303"/>
      <c r="M134" s="303"/>
      <c r="N134" s="301"/>
      <c r="O134" s="302"/>
    </row>
    <row r="135" spans="1:15" ht="13">
      <c r="A135" s="205">
        <v>13</v>
      </c>
      <c r="B135" s="1410" t="s">
        <v>816</v>
      </c>
      <c r="C135" s="1411"/>
      <c r="D135" s="1412"/>
      <c r="E135" s="310">
        <f>SUM(E73:E134)</f>
        <v>575074016.9799999</v>
      </c>
      <c r="F135" s="319"/>
      <c r="G135" s="310">
        <f>SUM(G73:G134)</f>
        <v>132840646.98162802</v>
      </c>
      <c r="H135" s="310">
        <f>SUM(H73:H134)</f>
        <v>31606.571398</v>
      </c>
      <c r="I135" s="310">
        <f>SUM(I73:I134)</f>
        <v>132809040.41023001</v>
      </c>
      <c r="J135" s="310">
        <f>SUM(J73:J134)</f>
        <v>2591259.5700000003</v>
      </c>
      <c r="K135" s="319"/>
      <c r="L135" s="310">
        <f>SUM(L73:L134)</f>
        <v>233276.71624414201</v>
      </c>
      <c r="M135" s="310">
        <f>SUM(M73:M134)</f>
        <v>2357982.8537558583</v>
      </c>
      <c r="N135" s="310">
        <f>SUM(N73:N134)</f>
        <v>439642110.42837203</v>
      </c>
      <c r="O135" s="193"/>
    </row>
    <row r="136" spans="1:15" ht="25.5" customHeight="1">
      <c r="A136" s="205">
        <v>14</v>
      </c>
      <c r="B136" s="1432" t="s">
        <v>1232</v>
      </c>
      <c r="C136" s="1433"/>
      <c r="D136" s="1434"/>
      <c r="E136" s="1195">
        <v>575074017</v>
      </c>
      <c r="F136" s="309"/>
      <c r="G136" s="325"/>
      <c r="H136" s="309"/>
      <c r="I136" s="309"/>
      <c r="J136" s="325"/>
      <c r="K136" s="309"/>
      <c r="L136" s="296"/>
      <c r="M136" s="296"/>
      <c r="N136" s="296"/>
      <c r="O136" s="192"/>
    </row>
    <row r="137" spans="1:15" ht="13">
      <c r="A137" s="208"/>
      <c r="B137" s="209"/>
      <c r="C137" s="210"/>
      <c r="D137" s="211"/>
      <c r="E137" s="296"/>
      <c r="F137" s="296"/>
      <c r="G137" s="296"/>
      <c r="H137" s="309"/>
      <c r="I137" s="309"/>
      <c r="J137" s="296"/>
      <c r="K137" s="309"/>
      <c r="L137" s="296"/>
      <c r="M137" s="296"/>
      <c r="N137" s="296"/>
      <c r="O137" s="192"/>
    </row>
    <row r="138" spans="1:15">
      <c r="A138" s="205" t="s">
        <v>817</v>
      </c>
      <c r="B138" s="201">
        <v>456.1</v>
      </c>
      <c r="C138" s="206" t="s">
        <v>818</v>
      </c>
      <c r="D138" s="202" t="s">
        <v>819</v>
      </c>
      <c r="E138" s="1317"/>
      <c r="F138" s="1306" t="s">
        <v>568</v>
      </c>
      <c r="G138" s="1307">
        <f t="shared" ref="G138:G150" si="56">IF(F138=$G$2,E138,0)</f>
        <v>0</v>
      </c>
      <c r="H138" s="1308">
        <f>G138</f>
        <v>0</v>
      </c>
      <c r="I138" s="1308">
        <f t="shared" ref="I138:I158" si="57">G138-H138</f>
        <v>0</v>
      </c>
      <c r="J138" s="1307">
        <f t="shared" ref="J138:J151" si="58">IF(F138=$J$2,E138,0)</f>
        <v>0</v>
      </c>
      <c r="K138" s="1310"/>
      <c r="L138" s="1312"/>
      <c r="M138" s="1308">
        <f t="shared" ref="M138:M143" si="59">J138-L138</f>
        <v>0</v>
      </c>
      <c r="N138" s="1307">
        <f t="shared" ref="N138:N158" si="60">IF(F138=$N$2,E138,0)</f>
        <v>0</v>
      </c>
      <c r="O138" s="1308">
        <v>5</v>
      </c>
    </row>
    <row r="139" spans="1:15">
      <c r="A139" s="205" t="s">
        <v>820</v>
      </c>
      <c r="B139" s="201">
        <v>456.1</v>
      </c>
      <c r="C139" s="206" t="s">
        <v>821</v>
      </c>
      <c r="D139" s="202" t="s">
        <v>822</v>
      </c>
      <c r="E139" s="1317">
        <v>296028</v>
      </c>
      <c r="F139" s="1306" t="s">
        <v>568</v>
      </c>
      <c r="G139" s="1307">
        <f t="shared" si="56"/>
        <v>296028</v>
      </c>
      <c r="H139" s="1308">
        <v>0</v>
      </c>
      <c r="I139" s="1308">
        <f t="shared" si="57"/>
        <v>296028</v>
      </c>
      <c r="J139" s="1307">
        <f t="shared" si="58"/>
        <v>0</v>
      </c>
      <c r="K139" s="1310"/>
      <c r="L139" s="1312"/>
      <c r="M139" s="1308">
        <f t="shared" si="59"/>
        <v>0</v>
      </c>
      <c r="N139" s="1307">
        <f t="shared" si="60"/>
        <v>0</v>
      </c>
      <c r="O139" s="1308">
        <v>4</v>
      </c>
    </row>
    <row r="140" spans="1:15">
      <c r="A140" s="205" t="s">
        <v>823</v>
      </c>
      <c r="B140" s="201">
        <v>456.1</v>
      </c>
      <c r="C140" s="206" t="s">
        <v>824</v>
      </c>
      <c r="D140" s="202" t="s">
        <v>825</v>
      </c>
      <c r="E140" s="1317">
        <v>898962.62</v>
      </c>
      <c r="F140" s="1306" t="s">
        <v>568</v>
      </c>
      <c r="G140" s="1307">
        <f t="shared" si="56"/>
        <v>898962.62</v>
      </c>
      <c r="H140" s="1308">
        <v>0</v>
      </c>
      <c r="I140" s="1308">
        <f t="shared" si="57"/>
        <v>898962.62</v>
      </c>
      <c r="J140" s="1307">
        <f t="shared" si="58"/>
        <v>0</v>
      </c>
      <c r="K140" s="1310"/>
      <c r="L140" s="1312"/>
      <c r="M140" s="1308">
        <f t="shared" si="59"/>
        <v>0</v>
      </c>
      <c r="N140" s="1307">
        <f t="shared" si="60"/>
        <v>0</v>
      </c>
      <c r="O140" s="1308">
        <v>4</v>
      </c>
    </row>
    <row r="141" spans="1:15">
      <c r="A141" s="205" t="s">
        <v>826</v>
      </c>
      <c r="B141" s="201">
        <v>456.1</v>
      </c>
      <c r="C141" s="206" t="s">
        <v>827</v>
      </c>
      <c r="D141" s="202" t="s">
        <v>828</v>
      </c>
      <c r="E141" s="1317">
        <v>119428.54</v>
      </c>
      <c r="F141" s="1306" t="s">
        <v>570</v>
      </c>
      <c r="G141" s="1307">
        <f t="shared" si="56"/>
        <v>0</v>
      </c>
      <c r="H141" s="1308">
        <v>0</v>
      </c>
      <c r="I141" s="1308">
        <f t="shared" si="57"/>
        <v>0</v>
      </c>
      <c r="J141" s="1307">
        <f t="shared" si="58"/>
        <v>0</v>
      </c>
      <c r="K141" s="1310"/>
      <c r="L141" s="1312"/>
      <c r="M141" s="1308">
        <f t="shared" si="59"/>
        <v>0</v>
      </c>
      <c r="N141" s="1307">
        <f t="shared" si="60"/>
        <v>119428.54</v>
      </c>
      <c r="O141" s="1308">
        <v>6</v>
      </c>
    </row>
    <row r="142" spans="1:15">
      <c r="A142" s="205" t="s">
        <v>829</v>
      </c>
      <c r="B142" s="201">
        <v>456.1</v>
      </c>
      <c r="C142" s="206" t="s">
        <v>830</v>
      </c>
      <c r="D142" s="202" t="s">
        <v>831</v>
      </c>
      <c r="E142" s="1317">
        <v>67845820.530000001</v>
      </c>
      <c r="F142" s="1306" t="s">
        <v>570</v>
      </c>
      <c r="G142" s="1307">
        <f t="shared" si="56"/>
        <v>0</v>
      </c>
      <c r="H142" s="1308">
        <v>0</v>
      </c>
      <c r="I142" s="1308">
        <f t="shared" si="57"/>
        <v>0</v>
      </c>
      <c r="J142" s="1307">
        <f t="shared" si="58"/>
        <v>0</v>
      </c>
      <c r="K142" s="1310"/>
      <c r="L142" s="1312"/>
      <c r="M142" s="1308">
        <f t="shared" si="59"/>
        <v>0</v>
      </c>
      <c r="N142" s="1307">
        <f t="shared" si="60"/>
        <v>67845820.530000001</v>
      </c>
      <c r="O142" s="1308">
        <v>6</v>
      </c>
    </row>
    <row r="143" spans="1:15">
      <c r="A143" s="205" t="s">
        <v>832</v>
      </c>
      <c r="B143" s="201">
        <v>456.1</v>
      </c>
      <c r="C143" s="206" t="s">
        <v>833</v>
      </c>
      <c r="D143" s="202" t="s">
        <v>834</v>
      </c>
      <c r="E143" s="1317" t="s">
        <v>2805</v>
      </c>
      <c r="F143" s="1306" t="s">
        <v>570</v>
      </c>
      <c r="G143" s="1307">
        <f>IF(F143=$G$2,E143,0)</f>
        <v>0</v>
      </c>
      <c r="H143" s="1308">
        <v>0</v>
      </c>
      <c r="I143" s="1321">
        <f>G143-H143</f>
        <v>0</v>
      </c>
      <c r="J143" s="1307">
        <f t="shared" si="58"/>
        <v>0</v>
      </c>
      <c r="K143" s="1310"/>
      <c r="L143" s="1312"/>
      <c r="M143" s="1308">
        <f t="shared" si="59"/>
        <v>0</v>
      </c>
      <c r="N143" s="1307" t="str">
        <f t="shared" si="60"/>
        <v>.</v>
      </c>
      <c r="O143" s="1308">
        <v>6</v>
      </c>
    </row>
    <row r="144" spans="1:15">
      <c r="A144" s="205" t="s">
        <v>835</v>
      </c>
      <c r="B144" s="201">
        <v>456.1</v>
      </c>
      <c r="C144" s="206" t="s">
        <v>836</v>
      </c>
      <c r="D144" s="202" t="s">
        <v>837</v>
      </c>
      <c r="E144" s="1317">
        <v>41782080</v>
      </c>
      <c r="F144" s="1306" t="s">
        <v>568</v>
      </c>
      <c r="G144" s="1307">
        <f t="shared" si="56"/>
        <v>41782080</v>
      </c>
      <c r="H144" s="1308">
        <f>G144</f>
        <v>41782080</v>
      </c>
      <c r="I144" s="1308">
        <f t="shared" si="57"/>
        <v>0</v>
      </c>
      <c r="J144" s="1307">
        <f t="shared" si="58"/>
        <v>0</v>
      </c>
      <c r="K144" s="1310"/>
      <c r="L144" s="1312"/>
      <c r="M144" s="1308">
        <f t="shared" ref="M144:M158" si="61">J144-L144</f>
        <v>0</v>
      </c>
      <c r="N144" s="1307">
        <f t="shared" si="60"/>
        <v>0</v>
      </c>
      <c r="O144" s="1308">
        <v>5</v>
      </c>
    </row>
    <row r="145" spans="1:15">
      <c r="A145" s="205" t="s">
        <v>838</v>
      </c>
      <c r="B145" s="201">
        <v>456.1</v>
      </c>
      <c r="C145" s="206" t="s">
        <v>839</v>
      </c>
      <c r="D145" s="202" t="s">
        <v>840</v>
      </c>
      <c r="E145" s="1317">
        <v>8673499.1600000001</v>
      </c>
      <c r="F145" s="1306" t="s">
        <v>568</v>
      </c>
      <c r="G145" s="1307">
        <f t="shared" si="56"/>
        <v>8673499.1600000001</v>
      </c>
      <c r="H145" s="1308">
        <v>0</v>
      </c>
      <c r="I145" s="1308">
        <f t="shared" si="57"/>
        <v>8673499.1600000001</v>
      </c>
      <c r="J145" s="1307">
        <f t="shared" si="58"/>
        <v>0</v>
      </c>
      <c r="K145" s="1310"/>
      <c r="L145" s="1312"/>
      <c r="M145" s="1308">
        <f t="shared" si="61"/>
        <v>0</v>
      </c>
      <c r="N145" s="1307">
        <f t="shared" si="60"/>
        <v>0</v>
      </c>
      <c r="O145" s="1308">
        <v>4</v>
      </c>
    </row>
    <row r="146" spans="1:15">
      <c r="A146" s="205" t="s">
        <v>841</v>
      </c>
      <c r="B146" s="201">
        <v>456.1</v>
      </c>
      <c r="C146" s="206" t="s">
        <v>842</v>
      </c>
      <c r="D146" s="202" t="s">
        <v>843</v>
      </c>
      <c r="E146" s="1317"/>
      <c r="F146" s="1306" t="s">
        <v>568</v>
      </c>
      <c r="G146" s="1307">
        <f t="shared" si="56"/>
        <v>0</v>
      </c>
      <c r="H146" s="1308">
        <v>0</v>
      </c>
      <c r="I146" s="1308">
        <f t="shared" si="57"/>
        <v>0</v>
      </c>
      <c r="J146" s="1307">
        <f t="shared" si="58"/>
        <v>0</v>
      </c>
      <c r="K146" s="1310"/>
      <c r="L146" s="1312"/>
      <c r="M146" s="1308">
        <f t="shared" si="61"/>
        <v>0</v>
      </c>
      <c r="N146" s="1307">
        <f t="shared" si="60"/>
        <v>0</v>
      </c>
      <c r="O146" s="1308">
        <v>4</v>
      </c>
    </row>
    <row r="147" spans="1:15">
      <c r="A147" s="1220" t="s">
        <v>844</v>
      </c>
      <c r="B147" s="201">
        <v>456.1</v>
      </c>
      <c r="C147" s="206" t="s">
        <v>846</v>
      </c>
      <c r="D147" s="202" t="s">
        <v>847</v>
      </c>
      <c r="E147" s="1317"/>
      <c r="F147" s="1306" t="s">
        <v>568</v>
      </c>
      <c r="G147" s="1307">
        <f t="shared" si="56"/>
        <v>0</v>
      </c>
      <c r="H147" s="1308">
        <v>0</v>
      </c>
      <c r="I147" s="1308">
        <f t="shared" si="57"/>
        <v>0</v>
      </c>
      <c r="J147" s="1307">
        <f t="shared" si="58"/>
        <v>0</v>
      </c>
      <c r="K147" s="1310"/>
      <c r="L147" s="1312"/>
      <c r="M147" s="1308">
        <f t="shared" si="61"/>
        <v>0</v>
      </c>
      <c r="N147" s="1307">
        <f t="shared" si="60"/>
        <v>0</v>
      </c>
      <c r="O147" s="1308">
        <v>4</v>
      </c>
    </row>
    <row r="148" spans="1:15">
      <c r="A148" s="1220" t="s">
        <v>845</v>
      </c>
      <c r="B148" s="201">
        <v>456.1</v>
      </c>
      <c r="C148" s="206" t="s">
        <v>849</v>
      </c>
      <c r="D148" s="202" t="s">
        <v>850</v>
      </c>
      <c r="E148" s="1317">
        <v>402147.6</v>
      </c>
      <c r="F148" s="1306" t="s">
        <v>568</v>
      </c>
      <c r="G148" s="1307">
        <f t="shared" si="56"/>
        <v>402147.6</v>
      </c>
      <c r="H148" s="1308">
        <v>0</v>
      </c>
      <c r="I148" s="1308">
        <f t="shared" si="57"/>
        <v>402147.6</v>
      </c>
      <c r="J148" s="1307">
        <f t="shared" si="58"/>
        <v>0</v>
      </c>
      <c r="K148" s="1310"/>
      <c r="L148" s="1312"/>
      <c r="M148" s="1308">
        <f t="shared" si="61"/>
        <v>0</v>
      </c>
      <c r="N148" s="1307">
        <f t="shared" si="60"/>
        <v>0</v>
      </c>
      <c r="O148" s="1308">
        <v>4</v>
      </c>
    </row>
    <row r="149" spans="1:15">
      <c r="A149" s="1220" t="s">
        <v>848</v>
      </c>
      <c r="B149" s="201">
        <v>456.1</v>
      </c>
      <c r="C149" s="206" t="s">
        <v>852</v>
      </c>
      <c r="D149" s="202" t="s">
        <v>853</v>
      </c>
      <c r="E149" s="1317">
        <v>104853</v>
      </c>
      <c r="F149" s="1306" t="s">
        <v>568</v>
      </c>
      <c r="G149" s="1307">
        <f t="shared" si="56"/>
        <v>104853</v>
      </c>
      <c r="H149" s="1308">
        <v>0</v>
      </c>
      <c r="I149" s="1308">
        <f t="shared" si="57"/>
        <v>104853</v>
      </c>
      <c r="J149" s="1307">
        <f t="shared" si="58"/>
        <v>0</v>
      </c>
      <c r="K149" s="1310"/>
      <c r="L149" s="1312"/>
      <c r="M149" s="1308">
        <f t="shared" si="61"/>
        <v>0</v>
      </c>
      <c r="N149" s="1307">
        <f t="shared" si="60"/>
        <v>0</v>
      </c>
      <c r="O149" s="1308">
        <v>4</v>
      </c>
    </row>
    <row r="150" spans="1:15">
      <c r="A150" s="1220" t="s">
        <v>851</v>
      </c>
      <c r="B150" s="201">
        <v>456.1</v>
      </c>
      <c r="C150" s="206" t="s">
        <v>855</v>
      </c>
      <c r="D150" s="202" t="s">
        <v>856</v>
      </c>
      <c r="E150" s="1317"/>
      <c r="F150" s="1306" t="s">
        <v>568</v>
      </c>
      <c r="G150" s="1307">
        <f t="shared" si="56"/>
        <v>0</v>
      </c>
      <c r="H150" s="1308">
        <v>0</v>
      </c>
      <c r="I150" s="1308">
        <f t="shared" si="57"/>
        <v>0</v>
      </c>
      <c r="J150" s="1307">
        <f t="shared" si="58"/>
        <v>0</v>
      </c>
      <c r="K150" s="1310"/>
      <c r="L150" s="1312"/>
      <c r="M150" s="1308">
        <f t="shared" si="61"/>
        <v>0</v>
      </c>
      <c r="N150" s="1307">
        <f t="shared" si="60"/>
        <v>0</v>
      </c>
      <c r="O150" s="1308">
        <v>4</v>
      </c>
    </row>
    <row r="151" spans="1:15">
      <c r="A151" s="1220" t="s">
        <v>854</v>
      </c>
      <c r="B151" s="201">
        <v>456.1</v>
      </c>
      <c r="C151" s="206" t="s">
        <v>858</v>
      </c>
      <c r="D151" s="202" t="s">
        <v>859</v>
      </c>
      <c r="E151" s="1317">
        <v>651331.07999999996</v>
      </c>
      <c r="F151" s="1306" t="s">
        <v>568</v>
      </c>
      <c r="G151" s="1307">
        <f>IF(F151=$G$2,E151,0)</f>
        <v>651331.07999999996</v>
      </c>
      <c r="H151" s="1308">
        <v>0</v>
      </c>
      <c r="I151" s="1308">
        <f t="shared" si="57"/>
        <v>651331.07999999996</v>
      </c>
      <c r="J151" s="1307">
        <f t="shared" si="58"/>
        <v>0</v>
      </c>
      <c r="K151" s="1310"/>
      <c r="L151" s="1312"/>
      <c r="M151" s="1308">
        <f t="shared" si="61"/>
        <v>0</v>
      </c>
      <c r="N151" s="1307">
        <f t="shared" si="60"/>
        <v>0</v>
      </c>
      <c r="O151" s="1308">
        <v>4</v>
      </c>
    </row>
    <row r="152" spans="1:15">
      <c r="A152" s="1220" t="s">
        <v>857</v>
      </c>
      <c r="B152" s="201">
        <v>456.1</v>
      </c>
      <c r="C152" s="206" t="s">
        <v>861</v>
      </c>
      <c r="D152" s="202" t="s">
        <v>862</v>
      </c>
      <c r="E152" s="1317">
        <v>207840.12</v>
      </c>
      <c r="F152" s="1306" t="s">
        <v>568</v>
      </c>
      <c r="G152" s="1307">
        <f t="shared" ref="G152:G158" si="62">IF(F152=$G$2,E152,0)</f>
        <v>207840.12</v>
      </c>
      <c r="H152" s="1308">
        <v>0</v>
      </c>
      <c r="I152" s="1308">
        <f t="shared" si="57"/>
        <v>207840.12</v>
      </c>
      <c r="J152" s="1307">
        <f t="shared" ref="J152:J158" si="63">IF(F152=$J$2,E152,0)</f>
        <v>0</v>
      </c>
      <c r="K152" s="1310"/>
      <c r="L152" s="1312"/>
      <c r="M152" s="1308">
        <f t="shared" si="61"/>
        <v>0</v>
      </c>
      <c r="N152" s="1307">
        <f t="shared" si="60"/>
        <v>0</v>
      </c>
      <c r="O152" s="1308">
        <v>4</v>
      </c>
    </row>
    <row r="153" spans="1:15">
      <c r="A153" s="1220" t="s">
        <v>860</v>
      </c>
      <c r="B153" s="201">
        <v>456.1</v>
      </c>
      <c r="C153" s="206" t="s">
        <v>865</v>
      </c>
      <c r="D153" s="202" t="s">
        <v>866</v>
      </c>
      <c r="E153" s="1317">
        <v>42492.12</v>
      </c>
      <c r="F153" s="1306" t="s">
        <v>568</v>
      </c>
      <c r="G153" s="1307">
        <f t="shared" si="62"/>
        <v>42492.12</v>
      </c>
      <c r="H153" s="1308">
        <v>0</v>
      </c>
      <c r="I153" s="1308">
        <f t="shared" si="57"/>
        <v>42492.12</v>
      </c>
      <c r="J153" s="1307">
        <f t="shared" si="63"/>
        <v>0</v>
      </c>
      <c r="K153" s="1310"/>
      <c r="L153" s="1312"/>
      <c r="M153" s="1308">
        <f t="shared" si="61"/>
        <v>0</v>
      </c>
      <c r="N153" s="1307">
        <f t="shared" si="60"/>
        <v>0</v>
      </c>
      <c r="O153" s="1308">
        <v>4</v>
      </c>
    </row>
    <row r="154" spans="1:15">
      <c r="A154" s="1220" t="s">
        <v>863</v>
      </c>
      <c r="B154" s="201">
        <v>456.1</v>
      </c>
      <c r="C154" s="206" t="s">
        <v>868</v>
      </c>
      <c r="D154" s="202" t="s">
        <v>869</v>
      </c>
      <c r="E154" s="1317"/>
      <c r="F154" s="1306" t="s">
        <v>570</v>
      </c>
      <c r="G154" s="1307">
        <f t="shared" si="62"/>
        <v>0</v>
      </c>
      <c r="H154" s="1308">
        <v>0</v>
      </c>
      <c r="I154" s="1308">
        <f t="shared" si="57"/>
        <v>0</v>
      </c>
      <c r="J154" s="1307">
        <f t="shared" si="63"/>
        <v>0</v>
      </c>
      <c r="K154" s="1310"/>
      <c r="L154" s="1312"/>
      <c r="M154" s="1308">
        <f t="shared" si="61"/>
        <v>0</v>
      </c>
      <c r="N154" s="1307">
        <f t="shared" si="60"/>
        <v>0</v>
      </c>
      <c r="O154" s="1308">
        <v>6</v>
      </c>
    </row>
    <row r="155" spans="1:15" s="1048" customFormat="1">
      <c r="A155" s="971" t="s">
        <v>864</v>
      </c>
      <c r="B155" s="1250">
        <v>456.1</v>
      </c>
      <c r="C155" s="970" t="s">
        <v>2402</v>
      </c>
      <c r="D155" s="970" t="s">
        <v>2403</v>
      </c>
      <c r="E155" s="1317">
        <v>96303.72</v>
      </c>
      <c r="F155" s="1305" t="s">
        <v>568</v>
      </c>
      <c r="G155" s="1307">
        <f t="shared" si="62"/>
        <v>96303.72</v>
      </c>
      <c r="H155" s="1308">
        <v>0</v>
      </c>
      <c r="I155" s="1308">
        <f t="shared" si="57"/>
        <v>96303.72</v>
      </c>
      <c r="J155" s="1307">
        <f t="shared" si="63"/>
        <v>0</v>
      </c>
      <c r="K155" s="1320"/>
      <c r="L155" s="1309"/>
      <c r="M155" s="1308">
        <f t="shared" si="61"/>
        <v>0</v>
      </c>
      <c r="N155" s="1307">
        <f t="shared" si="60"/>
        <v>0</v>
      </c>
      <c r="O155" s="1319">
        <v>4</v>
      </c>
    </row>
    <row r="156" spans="1:15" s="1048" customFormat="1">
      <c r="A156" s="971" t="s">
        <v>867</v>
      </c>
      <c r="B156" s="1250">
        <v>456.1</v>
      </c>
      <c r="C156" s="970" t="s">
        <v>2404</v>
      </c>
      <c r="D156" s="970" t="s">
        <v>2405</v>
      </c>
      <c r="E156" s="1317">
        <v>198434.52</v>
      </c>
      <c r="F156" s="1305" t="s">
        <v>568</v>
      </c>
      <c r="G156" s="1307">
        <f t="shared" si="62"/>
        <v>198434.52</v>
      </c>
      <c r="H156" s="1308">
        <v>0</v>
      </c>
      <c r="I156" s="1308">
        <f t="shared" si="57"/>
        <v>198434.52</v>
      </c>
      <c r="J156" s="1307">
        <f t="shared" si="63"/>
        <v>0</v>
      </c>
      <c r="K156" s="1320"/>
      <c r="L156" s="1309"/>
      <c r="M156" s="1308">
        <f t="shared" si="61"/>
        <v>0</v>
      </c>
      <c r="N156" s="1307">
        <f t="shared" si="60"/>
        <v>0</v>
      </c>
      <c r="O156" s="1319">
        <v>4</v>
      </c>
    </row>
    <row r="157" spans="1:15">
      <c r="A157" s="971" t="s">
        <v>2401</v>
      </c>
      <c r="B157" s="1250">
        <v>456.1</v>
      </c>
      <c r="C157" s="970" t="s">
        <v>2406</v>
      </c>
      <c r="D157" s="1249" t="s">
        <v>2407</v>
      </c>
      <c r="E157" s="1317">
        <v>3673523</v>
      </c>
      <c r="F157" s="1317" t="s">
        <v>570</v>
      </c>
      <c r="G157" s="1307">
        <f t="shared" si="62"/>
        <v>0</v>
      </c>
      <c r="H157" s="1308">
        <v>0</v>
      </c>
      <c r="I157" s="1308">
        <f t="shared" si="57"/>
        <v>0</v>
      </c>
      <c r="J157" s="1307">
        <f t="shared" si="63"/>
        <v>0</v>
      </c>
      <c r="K157" s="1320"/>
      <c r="L157" s="1309"/>
      <c r="M157" s="1308">
        <f t="shared" si="61"/>
        <v>0</v>
      </c>
      <c r="N157" s="1307">
        <f t="shared" si="60"/>
        <v>3673523</v>
      </c>
      <c r="O157" s="1319">
        <v>6</v>
      </c>
    </row>
    <row r="158" spans="1:15" s="1048" customFormat="1">
      <c r="A158" s="1220" t="s">
        <v>2803</v>
      </c>
      <c r="B158" s="1250">
        <v>456.1</v>
      </c>
      <c r="C158" s="970" t="s">
        <v>868</v>
      </c>
      <c r="D158" s="1249" t="s">
        <v>2804</v>
      </c>
      <c r="E158" s="1317">
        <v>-49391</v>
      </c>
      <c r="F158" s="1317" t="s">
        <v>570</v>
      </c>
      <c r="G158" s="1337">
        <f t="shared" si="62"/>
        <v>0</v>
      </c>
      <c r="H158" s="1321">
        <v>0</v>
      </c>
      <c r="I158" s="1321">
        <f t="shared" si="57"/>
        <v>0</v>
      </c>
      <c r="J158" s="1337">
        <f t="shared" si="63"/>
        <v>0</v>
      </c>
      <c r="K158" s="1320"/>
      <c r="L158" s="1309"/>
      <c r="M158" s="1321">
        <f t="shared" si="61"/>
        <v>0</v>
      </c>
      <c r="N158" s="1337">
        <f t="shared" si="60"/>
        <v>-49391</v>
      </c>
      <c r="O158" s="1321">
        <v>6</v>
      </c>
    </row>
    <row r="159" spans="1:15" s="1048" customFormat="1">
      <c r="A159" s="971" t="s">
        <v>2771</v>
      </c>
      <c r="B159" s="1250">
        <v>456.1</v>
      </c>
      <c r="C159" s="1250" t="s">
        <v>2772</v>
      </c>
      <c r="D159" s="1249" t="s">
        <v>2773</v>
      </c>
      <c r="E159" s="1317">
        <v>65.5</v>
      </c>
      <c r="F159" s="1317" t="s">
        <v>570</v>
      </c>
      <c r="G159" s="1307">
        <f t="shared" ref="G159:G160" si="64">IF(F159=$G$2,E159,0)</f>
        <v>0</v>
      </c>
      <c r="H159" s="1308">
        <v>0</v>
      </c>
      <c r="I159" s="1308">
        <f t="shared" ref="I159:I160" si="65">G159-H159</f>
        <v>0</v>
      </c>
      <c r="J159" s="1307">
        <f t="shared" ref="J159:J160" si="66">IF(F159=$J$2,E159,0)</f>
        <v>0</v>
      </c>
      <c r="K159" s="1320"/>
      <c r="L159" s="1309"/>
      <c r="M159" s="1308">
        <f t="shared" ref="M159:M160" si="67">J159-L159</f>
        <v>0</v>
      </c>
      <c r="N159" s="1307">
        <f t="shared" ref="N159:N160" si="68">IF(F159=$N$2,E159,0)</f>
        <v>65.5</v>
      </c>
      <c r="O159" s="1319">
        <v>6</v>
      </c>
    </row>
    <row r="160" spans="1:15" s="1048" customFormat="1">
      <c r="A160" s="1196" t="s">
        <v>2774</v>
      </c>
      <c r="B160" s="1326">
        <v>456.1</v>
      </c>
      <c r="C160" s="1326" t="s">
        <v>2775</v>
      </c>
      <c r="D160" s="1331" t="s">
        <v>2776</v>
      </c>
      <c r="E160" s="1070">
        <v>7927800</v>
      </c>
      <c r="F160" s="1070" t="s">
        <v>570</v>
      </c>
      <c r="G160" s="1305">
        <f t="shared" si="64"/>
        <v>0</v>
      </c>
      <c r="H160" s="1309">
        <v>0</v>
      </c>
      <c r="I160" s="1309">
        <f t="shared" si="65"/>
        <v>0</v>
      </c>
      <c r="J160" s="1305">
        <f t="shared" si="66"/>
        <v>0</v>
      </c>
      <c r="K160" s="1317"/>
      <c r="L160" s="1309"/>
      <c r="M160" s="1309">
        <f t="shared" si="67"/>
        <v>0</v>
      </c>
      <c r="N160" s="1305">
        <f t="shared" si="68"/>
        <v>7927800</v>
      </c>
      <c r="O160" s="1332">
        <v>6</v>
      </c>
    </row>
    <row r="161" spans="1:15">
      <c r="A161" s="331"/>
      <c r="B161" s="327"/>
      <c r="C161" s="326"/>
      <c r="D161" s="328"/>
      <c r="E161" s="304"/>
      <c r="F161" s="304"/>
      <c r="G161" s="305"/>
      <c r="H161" s="303"/>
      <c r="I161" s="303"/>
      <c r="J161" s="301"/>
      <c r="K161" s="304"/>
      <c r="L161" s="303"/>
      <c r="M161" s="303"/>
      <c r="N161" s="301"/>
      <c r="O161" s="302"/>
    </row>
    <row r="162" spans="1:15" ht="13">
      <c r="A162" s="205">
        <v>16</v>
      </c>
      <c r="B162" s="1410" t="s">
        <v>870</v>
      </c>
      <c r="C162" s="1411"/>
      <c r="D162" s="1412"/>
      <c r="E162" s="310">
        <f>SUM(E138:E161)</f>
        <v>132871218.50999999</v>
      </c>
      <c r="F162" s="319"/>
      <c r="G162" s="310">
        <f>SUM(G138:G161)</f>
        <v>53353971.939999998</v>
      </c>
      <c r="H162" s="310">
        <f>SUM(H138:H161)</f>
        <v>41782080</v>
      </c>
      <c r="I162" s="310">
        <f>SUM(I138:I161)</f>
        <v>11571891.939999999</v>
      </c>
      <c r="J162" s="310">
        <f>SUM(J138:J161)</f>
        <v>0</v>
      </c>
      <c r="K162" s="319"/>
      <c r="L162" s="310">
        <f>SUM(L138:L161)</f>
        <v>0</v>
      </c>
      <c r="M162" s="310">
        <f>SUM(M138:M161)</f>
        <v>0</v>
      </c>
      <c r="N162" s="310">
        <f>SUM(N138:N161)</f>
        <v>79517246.570000008</v>
      </c>
      <c r="O162" s="194"/>
    </row>
    <row r="163" spans="1:15" ht="25.5" customHeight="1">
      <c r="A163" s="205">
        <v>17</v>
      </c>
      <c r="B163" s="1432" t="s">
        <v>1227</v>
      </c>
      <c r="C163" s="1433"/>
      <c r="D163" s="1434"/>
      <c r="E163" s="1195">
        <v>132871219</v>
      </c>
      <c r="F163" s="309"/>
      <c r="G163" s="321"/>
      <c r="H163" s="311"/>
      <c r="I163" s="311"/>
      <c r="J163" s="294"/>
      <c r="K163" s="311"/>
      <c r="L163" s="294"/>
      <c r="M163" s="294"/>
      <c r="N163" s="294"/>
      <c r="O163" s="192"/>
    </row>
    <row r="164" spans="1:15" ht="13">
      <c r="A164" s="208"/>
      <c r="B164" s="209"/>
      <c r="C164" s="210"/>
      <c r="D164" s="211"/>
      <c r="E164" s="294"/>
      <c r="F164" s="294"/>
      <c r="G164" s="294"/>
      <c r="H164" s="311"/>
      <c r="I164" s="311"/>
      <c r="J164" s="294"/>
      <c r="K164" s="311"/>
      <c r="L164" s="294"/>
      <c r="M164" s="294"/>
      <c r="N164" s="294"/>
      <c r="O164" s="192"/>
    </row>
    <row r="165" spans="1:15" ht="13">
      <c r="A165" s="331" t="s">
        <v>871</v>
      </c>
      <c r="B165" s="329"/>
      <c r="C165" s="349"/>
      <c r="D165" s="349"/>
      <c r="E165" s="350"/>
      <c r="F165" s="350"/>
      <c r="G165" s="350"/>
      <c r="H165" s="350"/>
      <c r="I165" s="350"/>
      <c r="J165" s="350"/>
      <c r="K165" s="350"/>
      <c r="L165" s="350"/>
      <c r="M165" s="350"/>
      <c r="N165" s="350"/>
      <c r="O165" s="302"/>
    </row>
    <row r="166" spans="1:15" ht="13">
      <c r="A166" s="331"/>
      <c r="B166" s="351"/>
      <c r="C166" s="349"/>
      <c r="D166" s="349"/>
      <c r="E166" s="350"/>
      <c r="F166" s="350"/>
      <c r="G166" s="350"/>
      <c r="H166" s="350"/>
      <c r="I166" s="350"/>
      <c r="J166" s="350"/>
      <c r="K166" s="350"/>
      <c r="L166" s="350"/>
      <c r="M166" s="350"/>
      <c r="N166" s="350"/>
      <c r="O166" s="302"/>
    </row>
    <row r="167" spans="1:15" ht="13">
      <c r="A167" s="200">
        <v>19</v>
      </c>
      <c r="B167" s="1410" t="s">
        <v>872</v>
      </c>
      <c r="C167" s="1411"/>
      <c r="D167" s="1412"/>
      <c r="E167" s="295">
        <f>SUM(E165:E166)</f>
        <v>0</v>
      </c>
      <c r="F167" s="356"/>
      <c r="G167" s="295">
        <f>SUM(G165:G166)</f>
        <v>0</v>
      </c>
      <c r="H167" s="295">
        <f>SUM(H165:H166)</f>
        <v>0</v>
      </c>
      <c r="I167" s="295">
        <f>SUM(I165:I166)</f>
        <v>0</v>
      </c>
      <c r="J167" s="295">
        <f>SUM(J165:J166)</f>
        <v>0</v>
      </c>
      <c r="K167" s="319"/>
      <c r="L167" s="295">
        <f>SUM(L165:L166)</f>
        <v>0</v>
      </c>
      <c r="M167" s="295">
        <f>SUM(M165:M166)</f>
        <v>0</v>
      </c>
      <c r="N167" s="295">
        <f>SUM(N165:N166)</f>
        <v>0</v>
      </c>
      <c r="O167" s="295"/>
    </row>
    <row r="168" spans="1:15" ht="26.25" customHeight="1">
      <c r="A168" s="200">
        <v>20</v>
      </c>
      <c r="B168" s="1417" t="s">
        <v>1233</v>
      </c>
      <c r="C168" s="1418"/>
      <c r="D168" s="1419"/>
      <c r="E168" s="307">
        <v>0</v>
      </c>
      <c r="F168" s="294"/>
      <c r="G168" s="296"/>
      <c r="H168" s="309"/>
      <c r="I168" s="309"/>
      <c r="J168" s="296"/>
      <c r="K168" s="309"/>
      <c r="L168" s="296"/>
      <c r="M168" s="296"/>
      <c r="N168" s="296"/>
      <c r="O168" s="406"/>
    </row>
    <row r="169" spans="1:15" ht="13">
      <c r="A169" s="208"/>
      <c r="B169" s="209"/>
      <c r="C169" s="210"/>
      <c r="D169" s="211"/>
      <c r="E169" s="294"/>
      <c r="F169" s="294"/>
      <c r="G169" s="296"/>
      <c r="H169" s="309"/>
      <c r="I169" s="309"/>
      <c r="J169" s="296"/>
      <c r="K169" s="309"/>
      <c r="L169" s="296"/>
      <c r="M169" s="296"/>
      <c r="N169" s="296"/>
      <c r="O169" s="406"/>
    </row>
    <row r="170" spans="1:15" ht="13">
      <c r="A170" s="331" t="s">
        <v>873</v>
      </c>
      <c r="B170" s="329"/>
      <c r="C170" s="349"/>
      <c r="D170" s="349"/>
      <c r="E170" s="350"/>
      <c r="F170" s="350"/>
      <c r="G170" s="307"/>
      <c r="H170" s="307"/>
      <c r="I170" s="307"/>
      <c r="J170" s="307"/>
      <c r="K170" s="307"/>
      <c r="L170" s="307"/>
      <c r="M170" s="307"/>
      <c r="N170" s="307"/>
      <c r="O170" s="303"/>
    </row>
    <row r="171" spans="1:15" ht="13">
      <c r="A171" s="331"/>
      <c r="B171" s="351"/>
      <c r="C171" s="349"/>
      <c r="D171" s="349"/>
      <c r="E171" s="350"/>
      <c r="F171" s="350"/>
      <c r="G171" s="307"/>
      <c r="H171" s="307"/>
      <c r="I171" s="307"/>
      <c r="J171" s="307"/>
      <c r="K171" s="307"/>
      <c r="L171" s="307"/>
      <c r="M171" s="307"/>
      <c r="N171" s="307"/>
      <c r="O171" s="303"/>
    </row>
    <row r="172" spans="1:15" ht="13">
      <c r="A172" s="200">
        <v>22</v>
      </c>
      <c r="B172" s="1410" t="s">
        <v>874</v>
      </c>
      <c r="C172" s="1411"/>
      <c r="D172" s="1412"/>
      <c r="E172" s="295">
        <f>SUM(E170:E171)</f>
        <v>0</v>
      </c>
      <c r="F172" s="356"/>
      <c r="G172" s="295">
        <f>SUM(G170:G171)</f>
        <v>0</v>
      </c>
      <c r="H172" s="295">
        <f>SUM(H170:H171)</f>
        <v>0</v>
      </c>
      <c r="I172" s="295">
        <f>SUM(I170:I171)</f>
        <v>0</v>
      </c>
      <c r="J172" s="295">
        <f>SUM(J170:J171)</f>
        <v>0</v>
      </c>
      <c r="K172" s="319"/>
      <c r="L172" s="295">
        <f>SUM(L170:L171)</f>
        <v>0</v>
      </c>
      <c r="M172" s="295">
        <f>SUM(M170:M171)</f>
        <v>0</v>
      </c>
      <c r="N172" s="295">
        <f>SUM(N170:N171)</f>
        <v>0</v>
      </c>
      <c r="O172" s="295"/>
    </row>
    <row r="173" spans="1:15" ht="26.25" customHeight="1">
      <c r="A173" s="200">
        <v>23</v>
      </c>
      <c r="B173" s="1417" t="s">
        <v>1234</v>
      </c>
      <c r="C173" s="1418"/>
      <c r="D173" s="1419"/>
      <c r="E173" s="307">
        <v>0</v>
      </c>
      <c r="F173" s="294"/>
      <c r="G173" s="294"/>
      <c r="H173" s="311"/>
      <c r="I173" s="311"/>
      <c r="J173" s="294"/>
      <c r="K173" s="311"/>
      <c r="L173" s="294"/>
      <c r="M173" s="294"/>
      <c r="N173" s="294"/>
      <c r="O173" s="192"/>
    </row>
    <row r="174" spans="1:15" ht="13">
      <c r="A174" s="208"/>
      <c r="B174" s="209"/>
      <c r="C174" s="210"/>
      <c r="D174" s="211"/>
      <c r="E174" s="294"/>
      <c r="F174" s="294"/>
      <c r="G174" s="294"/>
      <c r="H174" s="311"/>
      <c r="I174" s="311"/>
      <c r="J174" s="294"/>
      <c r="K174" s="311"/>
      <c r="L174" s="294"/>
      <c r="M174" s="294"/>
      <c r="N174" s="294"/>
      <c r="O174" s="192"/>
    </row>
    <row r="175" spans="1:15" ht="13">
      <c r="A175" s="208"/>
      <c r="B175" s="209" t="s">
        <v>875</v>
      </c>
      <c r="C175" s="210"/>
      <c r="D175" s="211"/>
      <c r="E175" s="294"/>
      <c r="F175" s="294"/>
      <c r="G175" s="294"/>
      <c r="H175" s="311"/>
      <c r="I175" s="311"/>
      <c r="J175" s="294"/>
      <c r="K175" s="311"/>
      <c r="L175" s="294"/>
      <c r="M175" s="294"/>
      <c r="N175" s="294"/>
      <c r="O175" s="192"/>
    </row>
    <row r="176" spans="1:15">
      <c r="A176" s="1220" t="s">
        <v>876</v>
      </c>
      <c r="B176" s="219">
        <v>417</v>
      </c>
      <c r="C176" s="300">
        <v>4863130</v>
      </c>
      <c r="D176" s="215" t="s">
        <v>878</v>
      </c>
      <c r="E176" s="1070">
        <v>559488</v>
      </c>
      <c r="F176" s="1151" t="s">
        <v>569</v>
      </c>
      <c r="G176" s="297">
        <f t="shared" ref="G176:G190" si="69">IF(F176=$G$2,E176,0)</f>
        <v>0</v>
      </c>
      <c r="H176" s="204">
        <v>0</v>
      </c>
      <c r="I176" s="204">
        <f t="shared" ref="I176:I190" si="70">G176-H176</f>
        <v>0</v>
      </c>
      <c r="J176" s="297">
        <f t="shared" ref="J176:J190" si="71">IF(F176=$J$2,E176,0)</f>
        <v>559488</v>
      </c>
      <c r="K176" s="203" t="s">
        <v>610</v>
      </c>
      <c r="L176" s="1069">
        <v>107733.411913747</v>
      </c>
      <c r="M176" s="297">
        <f t="shared" ref="M176:M190" si="72">J176-L176</f>
        <v>451754.58808625303</v>
      </c>
      <c r="N176" s="297">
        <f>IF(F176=$N$2,E176,0)</f>
        <v>0</v>
      </c>
      <c r="O176" s="203">
        <v>2</v>
      </c>
    </row>
    <row r="177" spans="1:15">
      <c r="A177" s="1220" t="s">
        <v>877</v>
      </c>
      <c r="B177" s="219">
        <v>417</v>
      </c>
      <c r="C177" s="300">
        <v>4862110</v>
      </c>
      <c r="D177" s="215" t="s">
        <v>880</v>
      </c>
      <c r="E177" s="1070">
        <v>7559002.4299999997</v>
      </c>
      <c r="F177" s="1151" t="s">
        <v>569</v>
      </c>
      <c r="G177" s="297">
        <f t="shared" si="69"/>
        <v>0</v>
      </c>
      <c r="H177" s="204">
        <v>0</v>
      </c>
      <c r="I177" s="204">
        <f t="shared" si="70"/>
        <v>0</v>
      </c>
      <c r="J177" s="297">
        <f t="shared" si="71"/>
        <v>7559002.4299999997</v>
      </c>
      <c r="K177" s="203" t="s">
        <v>554</v>
      </c>
      <c r="L177" s="1069">
        <v>1315528.1981649499</v>
      </c>
      <c r="M177" s="297">
        <f t="shared" si="72"/>
        <v>6243474.2318350496</v>
      </c>
      <c r="N177" s="297">
        <f t="shared" ref="N177:N188" si="73">IF(F177=$N$2,E177,0)</f>
        <v>0</v>
      </c>
      <c r="O177" s="203">
        <v>2</v>
      </c>
    </row>
    <row r="178" spans="1:15">
      <c r="A178" s="1220" t="s">
        <v>879</v>
      </c>
      <c r="B178" s="219">
        <v>417</v>
      </c>
      <c r="C178" s="300">
        <v>4862115</v>
      </c>
      <c r="D178" s="215" t="s">
        <v>882</v>
      </c>
      <c r="E178" s="1070">
        <v>1855334.86</v>
      </c>
      <c r="F178" s="1151" t="s">
        <v>569</v>
      </c>
      <c r="G178" s="297">
        <f t="shared" si="69"/>
        <v>0</v>
      </c>
      <c r="H178" s="204">
        <v>0</v>
      </c>
      <c r="I178" s="204">
        <f t="shared" si="70"/>
        <v>0</v>
      </c>
      <c r="J178" s="297">
        <f t="shared" si="71"/>
        <v>1855334.86</v>
      </c>
      <c r="K178" s="203" t="s">
        <v>554</v>
      </c>
      <c r="L178" s="1069">
        <v>675022.89680081699</v>
      </c>
      <c r="M178" s="297">
        <f t="shared" si="72"/>
        <v>1180311.9631991831</v>
      </c>
      <c r="N178" s="297">
        <f t="shared" si="73"/>
        <v>0</v>
      </c>
      <c r="O178" s="203">
        <v>2</v>
      </c>
    </row>
    <row r="179" spans="1:15">
      <c r="A179" s="1220" t="s">
        <v>881</v>
      </c>
      <c r="B179" s="219">
        <v>417</v>
      </c>
      <c r="C179" s="300">
        <v>4862120</v>
      </c>
      <c r="D179" s="215" t="s">
        <v>884</v>
      </c>
      <c r="E179" s="1070">
        <v>273148.38</v>
      </c>
      <c r="F179" s="1151" t="s">
        <v>569</v>
      </c>
      <c r="G179" s="297">
        <f t="shared" si="69"/>
        <v>0</v>
      </c>
      <c r="H179" s="204">
        <v>0</v>
      </c>
      <c r="I179" s="204">
        <f t="shared" si="70"/>
        <v>0</v>
      </c>
      <c r="J179" s="297">
        <f t="shared" si="71"/>
        <v>273148.38</v>
      </c>
      <c r="K179" s="203" t="s">
        <v>554</v>
      </c>
      <c r="L179" s="1069">
        <v>57551.574993620503</v>
      </c>
      <c r="M179" s="297">
        <f t="shared" si="72"/>
        <v>215596.80500637949</v>
      </c>
      <c r="N179" s="297">
        <f t="shared" si="73"/>
        <v>0</v>
      </c>
      <c r="O179" s="203">
        <v>2</v>
      </c>
    </row>
    <row r="180" spans="1:15">
      <c r="A180" s="1220" t="s">
        <v>883</v>
      </c>
      <c r="B180" s="219">
        <v>417</v>
      </c>
      <c r="C180" s="300">
        <v>4862135</v>
      </c>
      <c r="D180" s="215" t="s">
        <v>886</v>
      </c>
      <c r="E180" s="1070">
        <v>17258544.649999999</v>
      </c>
      <c r="F180" s="1151" t="s">
        <v>569</v>
      </c>
      <c r="G180" s="297">
        <f t="shared" si="69"/>
        <v>0</v>
      </c>
      <c r="H180" s="204">
        <v>0</v>
      </c>
      <c r="I180" s="204">
        <f t="shared" si="70"/>
        <v>0</v>
      </c>
      <c r="J180" s="297">
        <f t="shared" si="71"/>
        <v>17258544.649999999</v>
      </c>
      <c r="K180" s="203" t="s">
        <v>554</v>
      </c>
      <c r="L180" s="1069">
        <v>3748869.29144787</v>
      </c>
      <c r="M180" s="297">
        <f t="shared" si="72"/>
        <v>13509675.358552128</v>
      </c>
      <c r="N180" s="297">
        <f t="shared" si="73"/>
        <v>0</v>
      </c>
      <c r="O180" s="203">
        <v>2</v>
      </c>
    </row>
    <row r="181" spans="1:15">
      <c r="A181" s="1220" t="s">
        <v>885</v>
      </c>
      <c r="B181" s="219">
        <v>417</v>
      </c>
      <c r="C181" s="300">
        <v>4864115</v>
      </c>
      <c r="D181" s="215" t="s">
        <v>889</v>
      </c>
      <c r="E181" s="1070">
        <v>296585.62</v>
      </c>
      <c r="F181" s="1151" t="s">
        <v>569</v>
      </c>
      <c r="G181" s="297">
        <f t="shared" si="69"/>
        <v>0</v>
      </c>
      <c r="H181" s="204">
        <v>0</v>
      </c>
      <c r="I181" s="204">
        <f t="shared" si="70"/>
        <v>0</v>
      </c>
      <c r="J181" s="297">
        <f t="shared" si="71"/>
        <v>296585.62</v>
      </c>
      <c r="K181" s="203" t="s">
        <v>554</v>
      </c>
      <c r="L181" s="1069">
        <v>44787.889675464197</v>
      </c>
      <c r="M181" s="297">
        <f t="shared" si="72"/>
        <v>251797.73032453581</v>
      </c>
      <c r="N181" s="297">
        <f t="shared" si="73"/>
        <v>0</v>
      </c>
      <c r="O181" s="203">
        <v>2</v>
      </c>
    </row>
    <row r="182" spans="1:15">
      <c r="A182" s="1220" t="s">
        <v>887</v>
      </c>
      <c r="B182" s="219">
        <v>417</v>
      </c>
      <c r="C182" s="300">
        <v>4862125</v>
      </c>
      <c r="D182" s="215" t="s">
        <v>891</v>
      </c>
      <c r="E182" s="1070">
        <v>14435819.939999999</v>
      </c>
      <c r="F182" s="1151" t="s">
        <v>569</v>
      </c>
      <c r="G182" s="297">
        <f t="shared" si="69"/>
        <v>0</v>
      </c>
      <c r="H182" s="204">
        <v>0</v>
      </c>
      <c r="I182" s="204">
        <f t="shared" si="70"/>
        <v>0</v>
      </c>
      <c r="J182" s="297">
        <f t="shared" si="71"/>
        <v>14435819.939999999</v>
      </c>
      <c r="K182" s="203" t="s">
        <v>554</v>
      </c>
      <c r="L182" s="1069">
        <v>2934081.5466051898</v>
      </c>
      <c r="M182" s="297">
        <f t="shared" si="72"/>
        <v>11501738.393394809</v>
      </c>
      <c r="N182" s="297">
        <f t="shared" si="73"/>
        <v>0</v>
      </c>
      <c r="O182" s="203">
        <v>2</v>
      </c>
    </row>
    <row r="183" spans="1:15">
      <c r="A183" s="1220" t="s">
        <v>888</v>
      </c>
      <c r="B183" s="219">
        <v>417</v>
      </c>
      <c r="C183" s="300">
        <v>4862130</v>
      </c>
      <c r="D183" s="215" t="s">
        <v>893</v>
      </c>
      <c r="E183" s="1070">
        <v>1509877.89</v>
      </c>
      <c r="F183" s="1151" t="s">
        <v>569</v>
      </c>
      <c r="G183" s="297">
        <f t="shared" si="69"/>
        <v>0</v>
      </c>
      <c r="H183" s="204">
        <v>0</v>
      </c>
      <c r="I183" s="204">
        <f t="shared" si="70"/>
        <v>0</v>
      </c>
      <c r="J183" s="297">
        <f t="shared" si="71"/>
        <v>1509877.89</v>
      </c>
      <c r="K183" s="203" t="s">
        <v>554</v>
      </c>
      <c r="L183" s="1069">
        <v>418329.27814724098</v>
      </c>
      <c r="M183" s="297">
        <f t="shared" si="72"/>
        <v>1091548.611852759</v>
      </c>
      <c r="N183" s="297">
        <f t="shared" si="73"/>
        <v>0</v>
      </c>
      <c r="O183" s="203">
        <v>2</v>
      </c>
    </row>
    <row r="184" spans="1:15">
      <c r="A184" s="1220" t="s">
        <v>890</v>
      </c>
      <c r="B184" s="219">
        <v>417</v>
      </c>
      <c r="C184" s="300">
        <v>4863120</v>
      </c>
      <c r="D184" s="215" t="s">
        <v>895</v>
      </c>
      <c r="E184" s="1070">
        <v>298522.44</v>
      </c>
      <c r="F184" s="1151" t="s">
        <v>569</v>
      </c>
      <c r="G184" s="297">
        <f t="shared" si="69"/>
        <v>0</v>
      </c>
      <c r="H184" s="204">
        <v>0</v>
      </c>
      <c r="I184" s="204">
        <f t="shared" si="70"/>
        <v>0</v>
      </c>
      <c r="J184" s="297">
        <f t="shared" si="71"/>
        <v>298522.44</v>
      </c>
      <c r="K184" s="203" t="s">
        <v>610</v>
      </c>
      <c r="L184" s="1069">
        <v>73589.525375781202</v>
      </c>
      <c r="M184" s="297">
        <f t="shared" si="72"/>
        <v>224932.9146242188</v>
      </c>
      <c r="N184" s="297">
        <f t="shared" si="73"/>
        <v>0</v>
      </c>
      <c r="O184" s="203">
        <v>2</v>
      </c>
    </row>
    <row r="185" spans="1:15">
      <c r="A185" s="1220" t="s">
        <v>892</v>
      </c>
      <c r="B185" s="219">
        <v>417</v>
      </c>
      <c r="C185" s="300">
        <v>4863110</v>
      </c>
      <c r="D185" s="215" t="s">
        <v>897</v>
      </c>
      <c r="E185" s="1070">
        <v>3695037.52</v>
      </c>
      <c r="F185" s="1151" t="s">
        <v>569</v>
      </c>
      <c r="G185" s="297">
        <f t="shared" si="69"/>
        <v>0</v>
      </c>
      <c r="H185" s="204">
        <v>0</v>
      </c>
      <c r="I185" s="204">
        <f t="shared" si="70"/>
        <v>0</v>
      </c>
      <c r="J185" s="297">
        <f t="shared" si="71"/>
        <v>3695037.52</v>
      </c>
      <c r="K185" s="203" t="s">
        <v>610</v>
      </c>
      <c r="L185" s="1069">
        <v>777298.22949018795</v>
      </c>
      <c r="M185" s="297">
        <f t="shared" si="72"/>
        <v>2917739.2905098121</v>
      </c>
      <c r="N185" s="297">
        <f t="shared" si="73"/>
        <v>0</v>
      </c>
      <c r="O185" s="203">
        <v>2</v>
      </c>
    </row>
    <row r="186" spans="1:15">
      <c r="A186" s="1220" t="s">
        <v>894</v>
      </c>
      <c r="B186" s="219">
        <v>417</v>
      </c>
      <c r="C186" s="300">
        <v>4863115</v>
      </c>
      <c r="D186" s="215" t="s">
        <v>899</v>
      </c>
      <c r="E186" s="1070">
        <v>357178.17</v>
      </c>
      <c r="F186" s="1151" t="s">
        <v>569</v>
      </c>
      <c r="G186" s="297">
        <f t="shared" si="69"/>
        <v>0</v>
      </c>
      <c r="H186" s="204">
        <v>0</v>
      </c>
      <c r="I186" s="204">
        <f t="shared" si="70"/>
        <v>0</v>
      </c>
      <c r="J186" s="297">
        <f t="shared" si="71"/>
        <v>357178.17</v>
      </c>
      <c r="K186" s="203" t="s">
        <v>610</v>
      </c>
      <c r="L186" s="1069">
        <v>50116.730159671402</v>
      </c>
      <c r="M186" s="297">
        <f t="shared" si="72"/>
        <v>307061.43984032859</v>
      </c>
      <c r="N186" s="297">
        <f t="shared" si="73"/>
        <v>0</v>
      </c>
      <c r="O186" s="203">
        <v>2</v>
      </c>
    </row>
    <row r="187" spans="1:15">
      <c r="A187" s="1220" t="s">
        <v>896</v>
      </c>
      <c r="B187" s="219">
        <v>417</v>
      </c>
      <c r="C187" s="300">
        <v>4863125</v>
      </c>
      <c r="D187" s="215" t="s">
        <v>901</v>
      </c>
      <c r="E187" s="1070">
        <v>1608482.99</v>
      </c>
      <c r="F187" s="1151" t="s">
        <v>569</v>
      </c>
      <c r="G187" s="297">
        <f t="shared" si="69"/>
        <v>0</v>
      </c>
      <c r="H187" s="204">
        <v>0</v>
      </c>
      <c r="I187" s="204">
        <f t="shared" si="70"/>
        <v>0</v>
      </c>
      <c r="J187" s="297">
        <f t="shared" si="71"/>
        <v>1608482.99</v>
      </c>
      <c r="K187" s="203" t="s">
        <v>610</v>
      </c>
      <c r="L187" s="1069">
        <v>372190.18900500302</v>
      </c>
      <c r="M187" s="297">
        <f t="shared" si="72"/>
        <v>1236292.8009949969</v>
      </c>
      <c r="N187" s="297">
        <f t="shared" si="73"/>
        <v>0</v>
      </c>
      <c r="O187" s="203">
        <v>2</v>
      </c>
    </row>
    <row r="188" spans="1:15">
      <c r="A188" s="1220" t="s">
        <v>898</v>
      </c>
      <c r="B188" s="219">
        <v>417</v>
      </c>
      <c r="C188" s="300">
        <v>4864120</v>
      </c>
      <c r="D188" s="215" t="s">
        <v>903</v>
      </c>
      <c r="E188" s="1070">
        <v>74441</v>
      </c>
      <c r="F188" s="1151" t="s">
        <v>569</v>
      </c>
      <c r="G188" s="297">
        <f t="shared" si="69"/>
        <v>0</v>
      </c>
      <c r="H188" s="204">
        <v>0</v>
      </c>
      <c r="I188" s="204">
        <f t="shared" si="70"/>
        <v>0</v>
      </c>
      <c r="J188" s="297">
        <f t="shared" si="71"/>
        <v>74441</v>
      </c>
      <c r="K188" s="203" t="s">
        <v>554</v>
      </c>
      <c r="L188" s="1069">
        <v>11790</v>
      </c>
      <c r="M188" s="297">
        <f t="shared" si="72"/>
        <v>62651</v>
      </c>
      <c r="N188" s="297">
        <f t="shared" si="73"/>
        <v>0</v>
      </c>
      <c r="O188" s="203">
        <v>2</v>
      </c>
    </row>
    <row r="189" spans="1:15" s="1048" customFormat="1">
      <c r="A189" s="971" t="s">
        <v>900</v>
      </c>
      <c r="B189" s="1247">
        <v>417</v>
      </c>
      <c r="C189" s="1248">
        <v>4864116</v>
      </c>
      <c r="D189" s="1249" t="s">
        <v>2408</v>
      </c>
      <c r="E189" s="1197">
        <v>1712719.68</v>
      </c>
      <c r="F189" s="1151" t="s">
        <v>569</v>
      </c>
      <c r="G189" s="297">
        <f t="shared" si="69"/>
        <v>0</v>
      </c>
      <c r="H189" s="204">
        <v>0</v>
      </c>
      <c r="I189" s="204">
        <f t="shared" si="70"/>
        <v>0</v>
      </c>
      <c r="J189" s="297">
        <f t="shared" si="71"/>
        <v>1712719.68</v>
      </c>
      <c r="K189" s="203" t="s">
        <v>554</v>
      </c>
      <c r="L189" s="1069">
        <v>345612.991781149</v>
      </c>
      <c r="M189" s="297">
        <f t="shared" si="72"/>
        <v>1367106.6882188509</v>
      </c>
      <c r="N189" s="297">
        <f>IF(F189=$N$2,E189,0)</f>
        <v>0</v>
      </c>
      <c r="O189" s="203">
        <v>2</v>
      </c>
    </row>
    <row r="190" spans="1:15" s="1048" customFormat="1">
      <c r="A190" s="971" t="s">
        <v>902</v>
      </c>
      <c r="B190" s="1247">
        <v>417</v>
      </c>
      <c r="C190" s="1248">
        <v>4864121</v>
      </c>
      <c r="D190" s="1249" t="s">
        <v>2409</v>
      </c>
      <c r="E190" s="1197">
        <v>137285</v>
      </c>
      <c r="F190" s="1151" t="s">
        <v>569</v>
      </c>
      <c r="G190" s="297">
        <f t="shared" si="69"/>
        <v>0</v>
      </c>
      <c r="H190" s="204">
        <v>0</v>
      </c>
      <c r="I190" s="204">
        <f t="shared" si="70"/>
        <v>0</v>
      </c>
      <c r="J190" s="297">
        <f t="shared" si="71"/>
        <v>137285</v>
      </c>
      <c r="K190" s="203" t="s">
        <v>554</v>
      </c>
      <c r="L190" s="1069">
        <v>27707</v>
      </c>
      <c r="M190" s="297">
        <f t="shared" si="72"/>
        <v>109578</v>
      </c>
      <c r="N190" s="297">
        <f>IF(F190=$N$2,E190,0)</f>
        <v>0</v>
      </c>
      <c r="O190" s="203">
        <v>2</v>
      </c>
    </row>
    <row r="191" spans="1:15">
      <c r="A191" s="971" t="s">
        <v>2777</v>
      </c>
      <c r="B191" s="219">
        <v>417</v>
      </c>
      <c r="C191" s="300">
        <v>4864117</v>
      </c>
      <c r="D191" s="218" t="s">
        <v>2778</v>
      </c>
      <c r="E191" s="308">
        <v>207555</v>
      </c>
      <c r="F191" s="1151" t="s">
        <v>569</v>
      </c>
      <c r="G191" s="297">
        <v>0</v>
      </c>
      <c r="H191" s="204">
        <v>0</v>
      </c>
      <c r="I191" s="204">
        <v>0</v>
      </c>
      <c r="J191" s="297">
        <v>207555</v>
      </c>
      <c r="K191" s="203" t="s">
        <v>554</v>
      </c>
      <c r="L191" s="301">
        <v>38987</v>
      </c>
      <c r="M191" s="297">
        <v>168568</v>
      </c>
      <c r="N191" s="297">
        <v>0</v>
      </c>
      <c r="O191" s="203">
        <v>2</v>
      </c>
    </row>
    <row r="192" spans="1:15" s="1048" customFormat="1">
      <c r="A192" s="971" t="s">
        <v>2779</v>
      </c>
      <c r="B192" s="219">
        <v>417</v>
      </c>
      <c r="C192" s="300">
        <v>4864122</v>
      </c>
      <c r="D192" s="218" t="s">
        <v>2780</v>
      </c>
      <c r="E192" s="308">
        <v>45640</v>
      </c>
      <c r="F192" s="1151" t="s">
        <v>569</v>
      </c>
      <c r="G192" s="297">
        <v>0</v>
      </c>
      <c r="H192" s="204">
        <v>0</v>
      </c>
      <c r="I192" s="204">
        <v>0</v>
      </c>
      <c r="J192" s="297">
        <v>45640</v>
      </c>
      <c r="K192" s="203" t="s">
        <v>554</v>
      </c>
      <c r="L192" s="301">
        <v>8349</v>
      </c>
      <c r="M192" s="297">
        <v>37291</v>
      </c>
      <c r="N192" s="297">
        <v>0</v>
      </c>
      <c r="O192" s="203">
        <v>2</v>
      </c>
    </row>
    <row r="193" spans="1:15" s="1048" customFormat="1">
      <c r="A193" s="1196" t="s">
        <v>2781</v>
      </c>
      <c r="B193" s="1333">
        <v>417</v>
      </c>
      <c r="C193" s="1334">
        <v>4864200</v>
      </c>
      <c r="D193" s="1331" t="s">
        <v>2782</v>
      </c>
      <c r="E193" s="1335">
        <v>6216</v>
      </c>
      <c r="F193" s="1151" t="s">
        <v>569</v>
      </c>
      <c r="G193" s="1151">
        <v>0</v>
      </c>
      <c r="H193" s="738">
        <v>0</v>
      </c>
      <c r="I193" s="738">
        <v>0</v>
      </c>
      <c r="J193" s="1151">
        <v>6216</v>
      </c>
      <c r="K193" s="1332" t="s">
        <v>554</v>
      </c>
      <c r="L193" s="1151">
        <v>0</v>
      </c>
      <c r="M193" s="1151">
        <v>6216</v>
      </c>
      <c r="N193" s="1151">
        <v>0</v>
      </c>
      <c r="O193" s="1332">
        <v>2</v>
      </c>
    </row>
    <row r="194" spans="1:15" s="1048" customFormat="1">
      <c r="A194" s="1196" t="s">
        <v>2783</v>
      </c>
      <c r="B194" s="1333">
        <v>417</v>
      </c>
      <c r="C194" s="1334">
        <v>4864201</v>
      </c>
      <c r="D194" s="1331" t="s">
        <v>2784</v>
      </c>
      <c r="E194" s="1335">
        <v>55916</v>
      </c>
      <c r="F194" s="1151" t="s">
        <v>569</v>
      </c>
      <c r="G194" s="1151">
        <v>0</v>
      </c>
      <c r="H194" s="738">
        <v>0</v>
      </c>
      <c r="I194" s="738">
        <v>0</v>
      </c>
      <c r="J194" s="1151">
        <v>55916</v>
      </c>
      <c r="K194" s="1332" t="s">
        <v>554</v>
      </c>
      <c r="L194" s="1151">
        <v>0</v>
      </c>
      <c r="M194" s="1151">
        <v>55916</v>
      </c>
      <c r="N194" s="1151">
        <v>0</v>
      </c>
      <c r="O194" s="1332">
        <v>2</v>
      </c>
    </row>
    <row r="195" spans="1:15" s="1048" customFormat="1">
      <c r="A195" s="1196" t="s">
        <v>2785</v>
      </c>
      <c r="B195" s="1333">
        <v>417</v>
      </c>
      <c r="C195" s="1334">
        <v>4864202</v>
      </c>
      <c r="D195" s="1331" t="s">
        <v>2786</v>
      </c>
      <c r="E195" s="1335">
        <v>60176.800000000003</v>
      </c>
      <c r="F195" s="1151" t="s">
        <v>569</v>
      </c>
      <c r="G195" s="1151">
        <v>0</v>
      </c>
      <c r="H195" s="738">
        <v>0</v>
      </c>
      <c r="I195" s="738">
        <v>0</v>
      </c>
      <c r="J195" s="1151">
        <v>60176.800000000003</v>
      </c>
      <c r="K195" s="1332" t="s">
        <v>554</v>
      </c>
      <c r="L195" s="1151">
        <v>0</v>
      </c>
      <c r="M195" s="1151">
        <v>60176.800000000003</v>
      </c>
      <c r="N195" s="1151">
        <v>0</v>
      </c>
      <c r="O195" s="1332">
        <v>2</v>
      </c>
    </row>
    <row r="196" spans="1:15" s="1048" customFormat="1">
      <c r="A196" s="1196" t="s">
        <v>2787</v>
      </c>
      <c r="B196" s="1333">
        <v>417</v>
      </c>
      <c r="C196" s="1334">
        <v>4864203</v>
      </c>
      <c r="D196" s="1331" t="s">
        <v>2788</v>
      </c>
      <c r="E196" s="1335">
        <v>6216</v>
      </c>
      <c r="F196" s="1151" t="s">
        <v>569</v>
      </c>
      <c r="G196" s="1151">
        <v>0</v>
      </c>
      <c r="H196" s="738">
        <v>0</v>
      </c>
      <c r="I196" s="738">
        <v>0</v>
      </c>
      <c r="J196" s="1151">
        <v>6216</v>
      </c>
      <c r="K196" s="1332" t="s">
        <v>554</v>
      </c>
      <c r="L196" s="1151">
        <v>0</v>
      </c>
      <c r="M196" s="1151">
        <v>6216</v>
      </c>
      <c r="N196" s="1151">
        <v>0</v>
      </c>
      <c r="O196" s="1332">
        <v>2</v>
      </c>
    </row>
    <row r="197" spans="1:15" s="1048" customFormat="1">
      <c r="A197" s="1196" t="s">
        <v>2789</v>
      </c>
      <c r="B197" s="1333">
        <v>417</v>
      </c>
      <c r="C197" s="1334">
        <v>4862105</v>
      </c>
      <c r="D197" s="1331" t="s">
        <v>2790</v>
      </c>
      <c r="E197" s="1335">
        <v>36782.870000000003</v>
      </c>
      <c r="F197" s="1151" t="s">
        <v>569</v>
      </c>
      <c r="G197" s="1151">
        <v>0</v>
      </c>
      <c r="H197" s="738">
        <v>0</v>
      </c>
      <c r="I197" s="738">
        <v>0</v>
      </c>
      <c r="J197" s="1151">
        <v>36782.870000000003</v>
      </c>
      <c r="K197" s="1332" t="s">
        <v>554</v>
      </c>
      <c r="L197" s="1151">
        <v>0</v>
      </c>
      <c r="M197" s="1151">
        <v>36782.870000000003</v>
      </c>
      <c r="N197" s="1151">
        <v>0</v>
      </c>
      <c r="O197" s="1332">
        <v>2</v>
      </c>
    </row>
    <row r="198" spans="1:15" s="1048" customFormat="1">
      <c r="A198" s="1196" t="s">
        <v>2791</v>
      </c>
      <c r="B198" s="1333">
        <v>417</v>
      </c>
      <c r="C198" s="1334">
        <v>4863135</v>
      </c>
      <c r="D198" s="1331" t="s">
        <v>2792</v>
      </c>
      <c r="E198" s="1335">
        <v>1151.3900000000001</v>
      </c>
      <c r="F198" s="1151" t="s">
        <v>569</v>
      </c>
      <c r="G198" s="1151">
        <v>0</v>
      </c>
      <c r="H198" s="738">
        <v>0</v>
      </c>
      <c r="I198" s="738">
        <v>0</v>
      </c>
      <c r="J198" s="1151">
        <v>1151.3900000000001</v>
      </c>
      <c r="K198" s="1332" t="s">
        <v>610</v>
      </c>
      <c r="L198" s="1151">
        <v>0</v>
      </c>
      <c r="M198" s="1151">
        <v>1151.3900000000001</v>
      </c>
      <c r="N198" s="1151">
        <v>0</v>
      </c>
      <c r="O198" s="1332">
        <v>2</v>
      </c>
    </row>
    <row r="199" spans="1:15" s="1048" customFormat="1">
      <c r="A199" s="1196" t="s">
        <v>2793</v>
      </c>
      <c r="B199" s="1333">
        <v>417</v>
      </c>
      <c r="C199" s="1334">
        <v>4864123</v>
      </c>
      <c r="D199" s="1331" t="s">
        <v>2794</v>
      </c>
      <c r="E199" s="1335">
        <v>964</v>
      </c>
      <c r="F199" s="1151" t="s">
        <v>569</v>
      </c>
      <c r="G199" s="1151">
        <v>0</v>
      </c>
      <c r="H199" s="738">
        <v>0</v>
      </c>
      <c r="I199" s="738">
        <v>0</v>
      </c>
      <c r="J199" s="1151">
        <v>964</v>
      </c>
      <c r="K199" s="1332" t="s">
        <v>554</v>
      </c>
      <c r="L199" s="1151">
        <v>0</v>
      </c>
      <c r="M199" s="1151">
        <v>964</v>
      </c>
      <c r="N199" s="1151">
        <v>0</v>
      </c>
      <c r="O199" s="1332">
        <v>2</v>
      </c>
    </row>
    <row r="200" spans="1:15" s="1048" customFormat="1">
      <c r="A200" s="1196" t="s">
        <v>2795</v>
      </c>
      <c r="B200" s="1333">
        <v>417</v>
      </c>
      <c r="C200" s="1334">
        <v>4864124</v>
      </c>
      <c r="D200" s="1331" t="s">
        <v>2796</v>
      </c>
      <c r="E200" s="1335">
        <v>36431.86</v>
      </c>
      <c r="F200" s="1151" t="s">
        <v>569</v>
      </c>
      <c r="G200" s="1151">
        <v>0</v>
      </c>
      <c r="H200" s="738">
        <v>0</v>
      </c>
      <c r="I200" s="738">
        <v>0</v>
      </c>
      <c r="J200" s="1151">
        <v>36431.86</v>
      </c>
      <c r="K200" s="1332" t="s">
        <v>554</v>
      </c>
      <c r="L200" s="1151">
        <v>0</v>
      </c>
      <c r="M200" s="1151">
        <v>36431.86</v>
      </c>
      <c r="N200" s="1151">
        <v>0</v>
      </c>
      <c r="O200" s="1332">
        <v>2</v>
      </c>
    </row>
    <row r="201" spans="1:15" s="1048" customFormat="1">
      <c r="A201" s="1196" t="s">
        <v>2797</v>
      </c>
      <c r="B201" s="1333">
        <v>417</v>
      </c>
      <c r="C201" s="1334">
        <v>4864125</v>
      </c>
      <c r="D201" s="1331" t="s">
        <v>2794</v>
      </c>
      <c r="E201" s="1335">
        <v>6447.4</v>
      </c>
      <c r="F201" s="1336" t="s">
        <v>569</v>
      </c>
      <c r="G201" s="1151">
        <v>0</v>
      </c>
      <c r="H201" s="738">
        <v>0</v>
      </c>
      <c r="I201" s="738">
        <v>0</v>
      </c>
      <c r="J201" s="1151">
        <v>6447.4</v>
      </c>
      <c r="K201" s="1332" t="s">
        <v>554</v>
      </c>
      <c r="L201" s="1151">
        <v>0</v>
      </c>
      <c r="M201" s="1151">
        <v>6447.4</v>
      </c>
      <c r="N201" s="1151">
        <v>0</v>
      </c>
      <c r="O201" s="1332">
        <v>2</v>
      </c>
    </row>
    <row r="202" spans="1:15" s="1048" customFormat="1">
      <c r="A202" s="1196"/>
      <c r="B202" s="329"/>
      <c r="C202" s="330"/>
      <c r="D202" s="328"/>
      <c r="E202" s="308"/>
      <c r="F202" s="308"/>
      <c r="G202" s="305"/>
      <c r="H202" s="303"/>
      <c r="I202" s="303"/>
      <c r="J202" s="301"/>
      <c r="K202" s="302"/>
      <c r="L202" s="301"/>
      <c r="M202" s="301"/>
      <c r="N202" s="301"/>
      <c r="O202" s="302"/>
    </row>
    <row r="203" spans="1:15" ht="13">
      <c r="A203" s="205">
        <v>25</v>
      </c>
      <c r="B203" s="1420" t="s">
        <v>904</v>
      </c>
      <c r="C203" s="1411"/>
      <c r="D203" s="1412"/>
      <c r="E203" s="310">
        <f>SUM(E176:E202)</f>
        <v>52094965.890000001</v>
      </c>
      <c r="F203" s="319"/>
      <c r="G203" s="310">
        <f>SUM(G176:G202)</f>
        <v>0</v>
      </c>
      <c r="H203" s="310">
        <f>SUM(H176:H202)</f>
        <v>0</v>
      </c>
      <c r="I203" s="310">
        <f>SUM(I176:I202)</f>
        <v>0</v>
      </c>
      <c r="J203" s="310">
        <f>SUM(J176:J202)</f>
        <v>52094965.890000001</v>
      </c>
      <c r="K203" s="319"/>
      <c r="L203" s="310">
        <f>SUM(L176:L202)</f>
        <v>11007544.753560694</v>
      </c>
      <c r="M203" s="310">
        <f>SUM(M176:M202)</f>
        <v>41087421.136439309</v>
      </c>
      <c r="N203" s="310">
        <f>SUM(N176:N202)</f>
        <v>0</v>
      </c>
      <c r="O203" s="194"/>
    </row>
    <row r="204" spans="1:15" ht="13">
      <c r="A204" s="205">
        <v>26</v>
      </c>
      <c r="B204" s="1420" t="s">
        <v>905</v>
      </c>
      <c r="C204" s="1411"/>
      <c r="D204" s="1412"/>
      <c r="E204" s="1195">
        <f>E205-E203</f>
        <v>9384162.1099999994</v>
      </c>
      <c r="F204" s="296"/>
      <c r="G204" s="294"/>
      <c r="H204" s="311"/>
      <c r="I204" s="311"/>
      <c r="J204" s="294"/>
      <c r="K204" s="311"/>
      <c r="L204" s="294"/>
      <c r="M204" s="294"/>
      <c r="N204" s="294"/>
      <c r="O204" s="192"/>
    </row>
    <row r="205" spans="1:15" ht="25.5" customHeight="1">
      <c r="A205" s="205">
        <v>27</v>
      </c>
      <c r="B205" s="1432" t="s">
        <v>1236</v>
      </c>
      <c r="C205" s="1433"/>
      <c r="D205" s="1434"/>
      <c r="E205" s="1195">
        <v>61479128</v>
      </c>
      <c r="F205" s="352" t="s">
        <v>329</v>
      </c>
    </row>
    <row r="206" spans="1:15">
      <c r="A206" s="213"/>
    </row>
    <row r="207" spans="1:15" ht="13">
      <c r="B207" s="40" t="s">
        <v>906</v>
      </c>
    </row>
    <row r="208" spans="1:15">
      <c r="A208" s="203" t="s">
        <v>907</v>
      </c>
      <c r="B208" s="1423">
        <v>418.1</v>
      </c>
      <c r="C208" s="1424"/>
      <c r="D208" s="215" t="s">
        <v>908</v>
      </c>
      <c r="E208" s="1070"/>
      <c r="F208" s="301" t="s">
        <v>569</v>
      </c>
      <c r="G208" s="297">
        <f>IF(F208=$G$2,E208,0)</f>
        <v>0</v>
      </c>
      <c r="H208" s="203">
        <v>0</v>
      </c>
      <c r="I208" s="204">
        <f>G208-H208</f>
        <v>0</v>
      </c>
      <c r="J208" s="297">
        <f>IF(F208=$J$2,E208,0)</f>
        <v>0</v>
      </c>
      <c r="K208" s="337" t="s">
        <v>554</v>
      </c>
      <c r="L208" s="301"/>
      <c r="M208" s="204">
        <f>J208-L208</f>
        <v>0</v>
      </c>
      <c r="N208" s="297">
        <f>IF(F208=$N$2,E208,0)</f>
        <v>0</v>
      </c>
      <c r="O208" s="207" t="s">
        <v>909</v>
      </c>
    </row>
    <row r="209" spans="1:16">
      <c r="A209" s="203" t="s">
        <v>910</v>
      </c>
      <c r="B209" s="1423">
        <v>418.1</v>
      </c>
      <c r="C209" s="1424"/>
      <c r="D209" s="215" t="s">
        <v>911</v>
      </c>
      <c r="E209" s="1070"/>
      <c r="F209" s="301" t="s">
        <v>569</v>
      </c>
      <c r="G209" s="297">
        <f>IF(F209=$G$2,E209,0)</f>
        <v>0</v>
      </c>
      <c r="H209" s="203">
        <v>0</v>
      </c>
      <c r="I209" s="204">
        <f>G209-H209</f>
        <v>0</v>
      </c>
      <c r="J209" s="297">
        <f>IF(F209=$J$2,E209,0)</f>
        <v>0</v>
      </c>
      <c r="K209" s="337" t="s">
        <v>610</v>
      </c>
      <c r="L209" s="301"/>
      <c r="M209" s="204">
        <f>J209-L209</f>
        <v>0</v>
      </c>
      <c r="N209" s="297">
        <f>IF(F209=$N$2,E209,0)</f>
        <v>0</v>
      </c>
      <c r="O209" s="207" t="s">
        <v>909</v>
      </c>
    </row>
    <row r="210" spans="1:16">
      <c r="A210" s="203" t="s">
        <v>912</v>
      </c>
      <c r="B210" s="1423">
        <v>418.1</v>
      </c>
      <c r="C210" s="1424"/>
      <c r="D210" s="566" t="s">
        <v>1671</v>
      </c>
      <c r="E210" s="1070"/>
      <c r="F210" s="1151" t="s">
        <v>569</v>
      </c>
      <c r="G210" s="297">
        <f>IF(F210=$G$2,E210,0)</f>
        <v>0</v>
      </c>
      <c r="H210" s="203">
        <v>0</v>
      </c>
      <c r="I210" s="204">
        <f>G210-H210</f>
        <v>0</v>
      </c>
      <c r="J210" s="297">
        <f>IF(F210=$J$2,E210,0)</f>
        <v>0</v>
      </c>
      <c r="K210" s="567" t="s">
        <v>610</v>
      </c>
      <c r="L210" s="301"/>
      <c r="M210" s="204">
        <f>J210-L210</f>
        <v>0</v>
      </c>
      <c r="N210" s="297">
        <f>IF(F210=$N$2,E210,0)</f>
        <v>0</v>
      </c>
      <c r="O210" s="564" t="s">
        <v>1672</v>
      </c>
    </row>
    <row r="211" spans="1:16">
      <c r="A211" s="203" t="s">
        <v>914</v>
      </c>
      <c r="B211" s="1423">
        <v>418.1</v>
      </c>
      <c r="C211" s="1424"/>
      <c r="D211" s="215" t="s">
        <v>913</v>
      </c>
      <c r="E211" s="1070"/>
      <c r="F211" s="301" t="s">
        <v>568</v>
      </c>
      <c r="G211" s="297">
        <f>IF(F211=$G$2,E211,0)</f>
        <v>0</v>
      </c>
      <c r="H211" s="203">
        <v>0</v>
      </c>
      <c r="I211" s="204">
        <f>G211-H211</f>
        <v>0</v>
      </c>
      <c r="J211" s="297">
        <f>IF(F211=$J$2,E211,0)</f>
        <v>0</v>
      </c>
      <c r="K211" s="337"/>
      <c r="L211" s="301"/>
      <c r="M211" s="204">
        <f>J211-L211</f>
        <v>0</v>
      </c>
      <c r="N211" s="297">
        <f>IF(F211=$N$2,E211,0)</f>
        <v>0</v>
      </c>
      <c r="O211" s="203">
        <v>13</v>
      </c>
    </row>
    <row r="212" spans="1:16">
      <c r="A212" s="565" t="s">
        <v>1183</v>
      </c>
      <c r="B212" s="913">
        <v>418.1</v>
      </c>
      <c r="C212" s="972"/>
      <c r="D212" s="566" t="s">
        <v>1808</v>
      </c>
      <c r="E212" s="1317">
        <v>-201421</v>
      </c>
      <c r="F212" s="301" t="s">
        <v>568</v>
      </c>
      <c r="G212" s="1307">
        <f>IF(F212=$G$2,E212,0)</f>
        <v>-201421</v>
      </c>
      <c r="H212" s="1308">
        <f>E212*$D$253</f>
        <v>-12266.538900000001</v>
      </c>
      <c r="I212" s="1308">
        <f>G212-H212</f>
        <v>-189154.46109999999</v>
      </c>
      <c r="J212" s="297">
        <f>IF(F212=$J$2,E212,0)</f>
        <v>0</v>
      </c>
      <c r="K212" s="337"/>
      <c r="L212" s="301"/>
      <c r="M212" s="204">
        <f>J212-L212</f>
        <v>0</v>
      </c>
      <c r="N212" s="297">
        <f>IF(F212=$N$2,E212,0)</f>
        <v>0</v>
      </c>
      <c r="O212" s="565" t="s">
        <v>2162</v>
      </c>
    </row>
    <row r="213" spans="1:16">
      <c r="A213" s="302"/>
      <c r="B213" s="344"/>
      <c r="C213" s="345"/>
      <c r="D213" s="346"/>
      <c r="E213" s="304"/>
      <c r="F213" s="301"/>
      <c r="G213" s="1306"/>
      <c r="H213" s="1312"/>
      <c r="I213" s="1312"/>
      <c r="J213" s="301"/>
      <c r="K213" s="347"/>
      <c r="L213" s="301"/>
      <c r="M213" s="348"/>
      <c r="N213" s="301"/>
      <c r="O213" s="302"/>
    </row>
    <row r="214" spans="1:16">
      <c r="A214" s="302"/>
      <c r="B214" s="344"/>
      <c r="C214" s="345"/>
      <c r="D214" s="346"/>
      <c r="E214" s="304"/>
      <c r="F214" s="301"/>
      <c r="G214" s="1306"/>
      <c r="H214" s="1312"/>
      <c r="I214" s="1312"/>
      <c r="J214" s="301"/>
      <c r="K214" s="347"/>
      <c r="L214" s="301"/>
      <c r="M214" s="348"/>
      <c r="N214" s="301"/>
      <c r="O214" s="302"/>
    </row>
    <row r="215" spans="1:16" ht="13">
      <c r="A215" s="207">
        <v>29</v>
      </c>
      <c r="B215" s="1420" t="s">
        <v>915</v>
      </c>
      <c r="C215" s="1411"/>
      <c r="D215" s="1412"/>
      <c r="E215" s="1323">
        <f>SUM(E208:E214)</f>
        <v>-201421</v>
      </c>
      <c r="F215" s="355"/>
      <c r="G215" s="1323">
        <f>SUM(G208:G214)</f>
        <v>-201421</v>
      </c>
      <c r="H215" s="1323">
        <f>SUM(H208:H214)</f>
        <v>-12266.538900000001</v>
      </c>
      <c r="I215" s="1323">
        <f>SUM(I208:I214)</f>
        <v>-189154.46109999999</v>
      </c>
      <c r="J215" s="402">
        <f>SUM(J208:J214)</f>
        <v>0</v>
      </c>
      <c r="K215" s="320"/>
      <c r="L215" s="402">
        <f>SUM(L208:L214)</f>
        <v>0</v>
      </c>
      <c r="M215" s="402">
        <f>SUM(M208:M214)</f>
        <v>0</v>
      </c>
      <c r="N215" s="402">
        <f>SUM(N208:N214)</f>
        <v>0</v>
      </c>
      <c r="O215" s="194"/>
      <c r="P215" s="14"/>
    </row>
    <row r="216" spans="1:16" ht="13">
      <c r="A216" s="207">
        <v>30</v>
      </c>
      <c r="B216" s="1420" t="s">
        <v>1746</v>
      </c>
      <c r="C216" s="1427"/>
      <c r="D216" s="1428"/>
      <c r="E216" s="1195">
        <f>E217-E215</f>
        <v>200360</v>
      </c>
      <c r="F216" s="354"/>
      <c r="G216" s="354"/>
      <c r="H216" s="354"/>
      <c r="I216" s="354"/>
      <c r="J216" s="353"/>
      <c r="K216" s="354"/>
      <c r="L216" s="353"/>
      <c r="M216" s="353"/>
      <c r="N216" s="353"/>
      <c r="O216" s="192"/>
    </row>
    <row r="217" spans="1:16" ht="25.5" customHeight="1">
      <c r="A217" s="207">
        <v>31</v>
      </c>
      <c r="B217" s="1425" t="s">
        <v>1235</v>
      </c>
      <c r="C217" s="1426"/>
      <c r="D217" s="1426"/>
      <c r="E217" s="1324">
        <v>-1061</v>
      </c>
      <c r="F217" s="354"/>
      <c r="G217" s="354"/>
      <c r="H217" s="354"/>
      <c r="I217" s="354"/>
      <c r="J217" s="353"/>
      <c r="K217" s="354"/>
      <c r="L217" s="353"/>
      <c r="M217" s="353"/>
      <c r="N217" s="353"/>
      <c r="O217" s="192"/>
    </row>
    <row r="218" spans="1:16">
      <c r="A218" s="213"/>
    </row>
    <row r="219" spans="1:16" ht="13">
      <c r="A219" s="207">
        <v>32</v>
      </c>
      <c r="B219" s="324"/>
      <c r="C219" s="323"/>
      <c r="D219" s="224" t="s">
        <v>916</v>
      </c>
      <c r="E219" s="1252">
        <f>E8+E32+E37+E70+E135+E162+E167+E172+E203+E215</f>
        <v>871074911.6099999</v>
      </c>
      <c r="F219" s="404"/>
      <c r="G219" s="1252">
        <f>G8+G32+G37+G70+G135+G162+G167+G172+G203+G215</f>
        <v>270491364.62203103</v>
      </c>
      <c r="H219" s="1252">
        <f>H8+H32+H37+H70+H135+H162+H167+H172+H203+H215</f>
        <v>44964229.615340993</v>
      </c>
      <c r="I219" s="1252">
        <f>I8+I32+I37+I70+I135+I162+I167+I172+I203+I215</f>
        <v>225527135.00669</v>
      </c>
      <c r="J219" s="1252">
        <f>J8+J32+J37+J70+J135+J162+J167+J172+J203+J215</f>
        <v>78588912.790000007</v>
      </c>
      <c r="K219" s="404"/>
      <c r="L219" s="1252">
        <f>L8+L32+L37+L70+L135+L162+L167+L172+L203+L215</f>
        <v>16671388.732719529</v>
      </c>
      <c r="M219" s="403">
        <f>M8+M32+M37+M70+M135+M162+M167+M172+M203+M215</f>
        <v>61917524.057280466</v>
      </c>
      <c r="N219" s="403">
        <f>N8+N32+N37+N70+N135+N162+N167+N172+N203+N215</f>
        <v>521994634.19796902</v>
      </c>
      <c r="O219" s="193"/>
    </row>
    <row r="220" spans="1:16">
      <c r="A220" s="225"/>
      <c r="B220" s="226"/>
      <c r="C220" s="225"/>
      <c r="E220" s="213"/>
      <c r="F220" s="213"/>
      <c r="G220" s="298"/>
      <c r="J220" s="315"/>
      <c r="K220" s="314"/>
      <c r="N220" s="298"/>
    </row>
    <row r="221" spans="1:16">
      <c r="A221" s="225"/>
      <c r="B221" s="226"/>
      <c r="C221" s="225"/>
      <c r="E221" s="213"/>
      <c r="F221" s="213" t="s">
        <v>154</v>
      </c>
      <c r="J221" s="315"/>
      <c r="K221" s="314"/>
      <c r="N221" s="298"/>
    </row>
    <row r="222" spans="1:16">
      <c r="A222" s="207">
        <v>33</v>
      </c>
      <c r="B222" s="343"/>
      <c r="C222" s="343"/>
      <c r="D222" s="339" t="s">
        <v>917</v>
      </c>
      <c r="E222" s="336">
        <f>L219</f>
        <v>16671388.732719529</v>
      </c>
      <c r="F222" s="338" t="s">
        <v>918</v>
      </c>
      <c r="G222" s="298"/>
      <c r="N222" s="298"/>
    </row>
    <row r="223" spans="1:16">
      <c r="A223" s="203">
        <v>34</v>
      </c>
      <c r="B223" s="343"/>
      <c r="C223" s="343"/>
      <c r="D223" s="339" t="s">
        <v>920</v>
      </c>
      <c r="E223" s="336">
        <f>E222*(5.425/16.671)</f>
        <v>5425126.4996103086</v>
      </c>
      <c r="F223" s="973" t="s">
        <v>1177</v>
      </c>
      <c r="G223" s="314"/>
      <c r="N223" s="298"/>
    </row>
    <row r="224" spans="1:16">
      <c r="A224" s="203">
        <v>35</v>
      </c>
      <c r="B224" s="343"/>
      <c r="C224" s="343"/>
      <c r="D224" s="341"/>
      <c r="E224" s="292"/>
      <c r="F224" s="974"/>
      <c r="G224" s="314"/>
      <c r="N224" s="298"/>
    </row>
    <row r="225" spans="1:254">
      <c r="A225" s="203">
        <v>36</v>
      </c>
      <c r="B225" s="343"/>
      <c r="C225" s="343"/>
      <c r="D225" s="339" t="s">
        <v>921</v>
      </c>
      <c r="E225" s="336">
        <f>SUMIF(K4:K209,"=A",M4:M209)</f>
        <v>35954022.712383695</v>
      </c>
      <c r="F225" s="975" t="s">
        <v>922</v>
      </c>
      <c r="G225" s="314"/>
      <c r="N225" s="298"/>
    </row>
    <row r="226" spans="1:254">
      <c r="A226" s="203">
        <v>37</v>
      </c>
      <c r="B226" s="333"/>
      <c r="C226" s="333"/>
      <c r="D226" s="339" t="s">
        <v>923</v>
      </c>
      <c r="E226" s="336">
        <f>0.1*E225</f>
        <v>3595402.2712383699</v>
      </c>
      <c r="F226" s="66" t="str">
        <f>"= Line "&amp;A225&amp;"D * 10%"</f>
        <v>= Line 36D * 10%</v>
      </c>
      <c r="G226" s="41"/>
      <c r="H226" s="317"/>
      <c r="I226" s="318"/>
    </row>
    <row r="227" spans="1:254">
      <c r="A227" s="203">
        <v>38</v>
      </c>
      <c r="B227" s="333"/>
      <c r="C227" s="333"/>
      <c r="D227" s="339" t="s">
        <v>924</v>
      </c>
      <c r="E227" s="336">
        <f>SUMIF(K4:K211,"=P",M4:M211)</f>
        <v>25963501.344896767</v>
      </c>
      <c r="F227" s="976" t="s">
        <v>925</v>
      </c>
      <c r="G227" s="41"/>
      <c r="H227" s="213"/>
      <c r="I227" s="318"/>
    </row>
    <row r="228" spans="1:254">
      <c r="A228" s="203">
        <v>39</v>
      </c>
      <c r="B228" s="333"/>
      <c r="C228" s="333"/>
      <c r="D228" s="339" t="s">
        <v>926</v>
      </c>
      <c r="E228" s="336">
        <f>0.3*E227</f>
        <v>7789050.4034690298</v>
      </c>
      <c r="F228" s="66" t="str">
        <f>"= Line "&amp;A227&amp;"D * 30%"</f>
        <v>= Line 38D * 30%</v>
      </c>
      <c r="G228" s="41"/>
      <c r="H228" s="317"/>
      <c r="I228" s="318"/>
    </row>
    <row r="229" spans="1:254">
      <c r="A229" s="203">
        <v>40</v>
      </c>
      <c r="B229" s="333"/>
      <c r="C229" s="333"/>
      <c r="D229" s="339" t="s">
        <v>927</v>
      </c>
      <c r="E229" s="336">
        <f>E226+E228</f>
        <v>11384452.6747074</v>
      </c>
      <c r="F229" s="66" t="str">
        <f>"= Line "&amp;A226&amp;"D + Line "&amp;A228&amp;"D"</f>
        <v>= Line 37D + Line 39D</v>
      </c>
      <c r="G229" s="313"/>
    </row>
    <row r="230" spans="1:254">
      <c r="A230" s="203">
        <v>41</v>
      </c>
      <c r="B230" s="333"/>
      <c r="C230" s="333"/>
      <c r="D230" s="339" t="s">
        <v>928</v>
      </c>
      <c r="E230" s="340">
        <f>5.425/16.671</f>
        <v>0.32541539199808051</v>
      </c>
      <c r="F230" s="975" t="s">
        <v>919</v>
      </c>
      <c r="G230" s="313"/>
    </row>
    <row r="231" spans="1:254">
      <c r="A231" s="203">
        <v>42</v>
      </c>
      <c r="B231" s="333"/>
      <c r="C231" s="333"/>
      <c r="D231" s="339" t="s">
        <v>929</v>
      </c>
      <c r="E231" s="336">
        <f>E229*E230</f>
        <v>3704676.1298235045</v>
      </c>
      <c r="F231" s="66" t="str">
        <f>"= Line "&amp;A229&amp;"D * Line "&amp;A230&amp;"D"</f>
        <v>= Line 40D * Line 41D</v>
      </c>
      <c r="G231" s="313"/>
    </row>
    <row r="232" spans="1:254" ht="12.75" customHeight="1">
      <c r="A232" s="203">
        <v>43</v>
      </c>
      <c r="B232" s="333"/>
      <c r="C232" s="333"/>
      <c r="D232" s="342" t="s">
        <v>1747</v>
      </c>
      <c r="E232" s="402">
        <f>E231+E223</f>
        <v>9129802.6294338126</v>
      </c>
      <c r="F232" s="66" t="str">
        <f>"= Line "&amp;A223&amp;"D + Line "&amp;A231&amp;"D"</f>
        <v>= Line 34D + Line 42D</v>
      </c>
      <c r="G232" s="313"/>
    </row>
    <row r="233" spans="1:254">
      <c r="A233" s="41"/>
      <c r="D233" s="313"/>
      <c r="E233" s="977"/>
      <c r="F233" s="975"/>
      <c r="G233" s="313"/>
    </row>
    <row r="234" spans="1:254">
      <c r="A234" s="41"/>
      <c r="D234" s="222"/>
      <c r="E234" s="228" t="s">
        <v>175</v>
      </c>
      <c r="F234" s="228" t="s">
        <v>154</v>
      </c>
      <c r="G234" s="220"/>
      <c r="I234" s="223"/>
      <c r="J234" s="41"/>
      <c r="K234" s="223"/>
      <c r="L234" s="222"/>
      <c r="M234" s="228"/>
      <c r="N234" s="228"/>
      <c r="O234" s="220"/>
      <c r="P234" s="221"/>
      <c r="Q234" s="223"/>
      <c r="R234" s="222"/>
      <c r="S234" s="228"/>
      <c r="T234" s="228"/>
      <c r="U234" s="220"/>
      <c r="V234" s="221"/>
      <c r="W234" s="223"/>
      <c r="X234" s="41"/>
      <c r="Y234" s="223"/>
      <c r="Z234" s="222"/>
      <c r="AA234" s="228"/>
      <c r="AB234" s="228"/>
      <c r="AC234" s="220"/>
      <c r="AD234" s="221"/>
      <c r="AE234" s="223"/>
      <c r="AF234" s="41"/>
      <c r="AG234" s="223"/>
      <c r="AH234" s="222"/>
      <c r="AI234" s="228"/>
      <c r="AJ234" s="228"/>
      <c r="AK234" s="220"/>
      <c r="AL234" s="221"/>
      <c r="AM234" s="223"/>
      <c r="AN234" s="41"/>
      <c r="AO234" s="223"/>
      <c r="AP234" s="222"/>
      <c r="AQ234" s="228"/>
      <c r="AR234" s="228"/>
      <c r="AS234" s="220"/>
      <c r="AT234" s="221"/>
      <c r="AU234" s="223"/>
      <c r="AV234" s="41"/>
      <c r="AW234" s="223"/>
      <c r="AX234" s="222"/>
      <c r="AY234" s="228"/>
      <c r="AZ234" s="228"/>
      <c r="BA234" s="220"/>
      <c r="BB234" s="221"/>
      <c r="BC234" s="223"/>
      <c r="BD234" s="41"/>
      <c r="BE234" s="223"/>
      <c r="BF234" s="222"/>
      <c r="BG234" s="228"/>
      <c r="BH234" s="228"/>
      <c r="BI234" s="220"/>
      <c r="BJ234" s="221"/>
      <c r="BK234" s="223"/>
      <c r="BL234" s="41"/>
      <c r="BM234" s="223"/>
      <c r="BN234" s="222"/>
      <c r="BO234" s="228"/>
      <c r="BP234" s="228"/>
      <c r="BQ234" s="220"/>
      <c r="BR234" s="221"/>
      <c r="BS234" s="223"/>
      <c r="BT234" s="41"/>
      <c r="BU234" s="223"/>
      <c r="BV234" s="222"/>
      <c r="BW234" s="228"/>
      <c r="BX234" s="228"/>
      <c r="BY234" s="220"/>
      <c r="BZ234" s="221"/>
      <c r="CA234" s="223"/>
      <c r="CB234" s="41"/>
      <c r="CC234" s="223"/>
      <c r="CD234" s="222"/>
      <c r="CE234" s="228"/>
      <c r="CF234" s="228"/>
      <c r="CG234" s="220"/>
      <c r="CH234" s="221"/>
      <c r="CI234" s="223"/>
      <c r="CJ234" s="41"/>
      <c r="CK234" s="223"/>
      <c r="CL234" s="222"/>
      <c r="CM234" s="228"/>
      <c r="CN234" s="228"/>
      <c r="CO234" s="220"/>
      <c r="CP234" s="221"/>
      <c r="CQ234" s="223"/>
      <c r="CR234" s="41"/>
      <c r="CS234" s="223"/>
      <c r="CT234" s="222"/>
      <c r="CU234" s="228"/>
      <c r="CV234" s="228"/>
      <c r="CW234" s="220"/>
      <c r="CX234" s="221"/>
      <c r="CY234" s="223"/>
      <c r="CZ234" s="41"/>
      <c r="DA234" s="223"/>
      <c r="DB234" s="222"/>
      <c r="DC234" s="228"/>
      <c r="DD234" s="228"/>
      <c r="DE234" s="220"/>
      <c r="DF234" s="221"/>
      <c r="DG234" s="223"/>
      <c r="DH234" s="41"/>
      <c r="DI234" s="223"/>
      <c r="DJ234" s="222"/>
      <c r="DK234" s="228"/>
      <c r="DL234" s="228"/>
      <c r="DM234" s="220"/>
      <c r="DN234" s="221"/>
      <c r="DO234" s="223"/>
      <c r="DP234" s="41"/>
      <c r="DQ234" s="223"/>
      <c r="DR234" s="222"/>
      <c r="DS234" s="228"/>
      <c r="DT234" s="228"/>
      <c r="DU234" s="220"/>
      <c r="DV234" s="221"/>
      <c r="DW234" s="223"/>
      <c r="DX234" s="41"/>
      <c r="DY234" s="223"/>
      <c r="DZ234" s="222"/>
      <c r="EA234" s="228"/>
      <c r="EB234" s="228"/>
      <c r="EC234" s="220"/>
      <c r="ED234" s="221"/>
      <c r="EE234" s="223"/>
      <c r="EF234" s="41"/>
      <c r="EG234" s="223"/>
      <c r="EH234" s="222"/>
      <c r="EI234" s="228"/>
      <c r="EJ234" s="228"/>
      <c r="EK234" s="220"/>
      <c r="EL234" s="221"/>
      <c r="EM234" s="223"/>
      <c r="EN234" s="41"/>
      <c r="EO234" s="223"/>
      <c r="EP234" s="222"/>
      <c r="EQ234" s="228"/>
      <c r="ER234" s="228"/>
      <c r="ES234" s="220"/>
      <c r="ET234" s="221"/>
      <c r="EU234" s="223"/>
      <c r="EV234" s="41"/>
      <c r="EW234" s="223"/>
      <c r="EX234" s="222"/>
      <c r="EY234" s="228"/>
      <c r="EZ234" s="228"/>
      <c r="FA234" s="220"/>
      <c r="FB234" s="221"/>
      <c r="FC234" s="223"/>
      <c r="FD234" s="41"/>
      <c r="FE234" s="223"/>
      <c r="FF234" s="222"/>
      <c r="FG234" s="228"/>
      <c r="FH234" s="228"/>
      <c r="FI234" s="220"/>
      <c r="FJ234" s="221"/>
      <c r="FK234" s="223"/>
      <c r="FL234" s="41"/>
      <c r="FM234" s="223"/>
      <c r="FN234" s="222"/>
      <c r="FO234" s="228"/>
      <c r="FP234" s="228"/>
      <c r="FQ234" s="220"/>
      <c r="FR234" s="221"/>
      <c r="FS234" s="223"/>
      <c r="FT234" s="41"/>
      <c r="FU234" s="223"/>
      <c r="FV234" s="222"/>
      <c r="FW234" s="228"/>
      <c r="FX234" s="228"/>
      <c r="FY234" s="220"/>
      <c r="FZ234" s="221"/>
      <c r="GA234" s="223"/>
      <c r="GB234" s="41"/>
      <c r="GC234" s="223"/>
      <c r="GD234" s="222"/>
      <c r="GE234" s="228"/>
      <c r="GF234" s="228"/>
      <c r="GG234" s="220"/>
      <c r="GH234" s="221"/>
      <c r="GI234" s="223"/>
      <c r="GJ234" s="41"/>
      <c r="GK234" s="223"/>
      <c r="GL234" s="222"/>
      <c r="GM234" s="228"/>
      <c r="GN234" s="228"/>
      <c r="GO234" s="220"/>
      <c r="GP234" s="221"/>
      <c r="GQ234" s="223"/>
      <c r="GR234" s="41"/>
      <c r="GS234" s="223"/>
      <c r="GT234" s="222"/>
      <c r="GU234" s="228"/>
      <c r="GV234" s="228"/>
      <c r="GW234" s="220"/>
      <c r="GX234" s="221"/>
      <c r="GY234" s="223"/>
      <c r="GZ234" s="41"/>
      <c r="HA234" s="223"/>
      <c r="HB234" s="222"/>
      <c r="HC234" s="228"/>
      <c r="HD234" s="228"/>
      <c r="HE234" s="220"/>
      <c r="HF234" s="221"/>
      <c r="HG234" s="223"/>
      <c r="HH234" s="41"/>
      <c r="HI234" s="223"/>
      <c r="HJ234" s="222"/>
      <c r="HK234" s="228"/>
      <c r="HL234" s="228"/>
      <c r="HM234" s="220"/>
      <c r="HN234" s="221"/>
      <c r="HO234" s="223"/>
      <c r="HP234" s="41"/>
      <c r="HQ234" s="223"/>
      <c r="HR234" s="222"/>
      <c r="HS234" s="228"/>
      <c r="HT234" s="228"/>
      <c r="HU234" s="220"/>
      <c r="HV234" s="221"/>
      <c r="HW234" s="223"/>
      <c r="HX234" s="41"/>
      <c r="HY234" s="223"/>
      <c r="HZ234" s="222"/>
      <c r="IA234" s="228"/>
      <c r="IB234" s="228"/>
      <c r="IC234" s="220"/>
      <c r="ID234" s="221"/>
      <c r="IE234" s="223"/>
      <c r="IF234" s="41"/>
      <c r="IG234" s="223"/>
      <c r="IH234" s="222"/>
      <c r="II234" s="228"/>
      <c r="IJ234" s="228"/>
      <c r="IK234" s="220"/>
      <c r="IL234" s="221"/>
      <c r="IM234" s="223"/>
      <c r="IN234" s="41"/>
      <c r="IO234" s="223"/>
      <c r="IP234" s="222"/>
      <c r="IQ234" s="228"/>
      <c r="IR234" s="228"/>
      <c r="IS234" s="220"/>
      <c r="IT234" s="221"/>
    </row>
    <row r="235" spans="1:254" ht="13">
      <c r="A235" s="203">
        <v>44</v>
      </c>
      <c r="B235" s="40" t="s">
        <v>952</v>
      </c>
      <c r="D235" s="222"/>
      <c r="E235" s="405">
        <f>H219+E232</f>
        <v>54094032.244774804</v>
      </c>
      <c r="F235" s="735" t="s">
        <v>2034</v>
      </c>
      <c r="G235" s="220"/>
      <c r="J235" s="40"/>
      <c r="K235" s="223"/>
      <c r="L235" s="222"/>
      <c r="M235" s="227"/>
      <c r="N235" s="229"/>
      <c r="O235" s="220"/>
      <c r="P235" s="221"/>
      <c r="Q235" s="223"/>
      <c r="R235" s="222"/>
      <c r="S235" s="227"/>
      <c r="T235" s="229"/>
      <c r="U235" s="220"/>
      <c r="V235" s="221"/>
      <c r="W235" s="213"/>
      <c r="X235" s="40"/>
      <c r="Y235" s="223"/>
      <c r="Z235" s="222"/>
      <c r="AA235" s="227"/>
      <c r="AB235" s="229"/>
      <c r="AC235" s="220"/>
      <c r="AD235" s="221"/>
      <c r="AE235" s="213"/>
      <c r="AF235" s="40"/>
      <c r="AG235" s="223"/>
      <c r="AH235" s="222"/>
      <c r="AI235" s="227"/>
      <c r="AJ235" s="229"/>
      <c r="AK235" s="220"/>
      <c r="AL235" s="221"/>
      <c r="AM235" s="207"/>
      <c r="AN235" s="40"/>
      <c r="AO235" s="223"/>
      <c r="AP235" s="222"/>
      <c r="AQ235" s="227"/>
      <c r="AR235" s="229"/>
      <c r="AS235" s="220"/>
      <c r="AT235" s="221"/>
      <c r="AU235" s="207"/>
      <c r="AV235" s="40"/>
      <c r="AW235" s="223"/>
      <c r="AX235" s="222"/>
      <c r="AY235" s="227"/>
      <c r="AZ235" s="229"/>
      <c r="BA235" s="220"/>
      <c r="BB235" s="221"/>
      <c r="BC235" s="207"/>
      <c r="BD235" s="40"/>
      <c r="BE235" s="223"/>
      <c r="BF235" s="222"/>
      <c r="BG235" s="227"/>
      <c r="BH235" s="229"/>
      <c r="BI235" s="220"/>
      <c r="BJ235" s="221"/>
      <c r="BK235" s="207"/>
      <c r="BL235" s="40"/>
      <c r="BM235" s="223"/>
      <c r="BN235" s="222"/>
      <c r="BO235" s="227"/>
      <c r="BP235" s="229"/>
      <c r="BQ235" s="220"/>
      <c r="BR235" s="221"/>
      <c r="BS235" s="207"/>
      <c r="BT235" s="40"/>
      <c r="BU235" s="223"/>
      <c r="BV235" s="222"/>
      <c r="BW235" s="227"/>
      <c r="BX235" s="229"/>
      <c r="BY235" s="220"/>
      <c r="BZ235" s="221"/>
      <c r="CA235" s="207"/>
      <c r="CB235" s="40"/>
      <c r="CC235" s="223"/>
      <c r="CD235" s="222"/>
      <c r="CE235" s="227"/>
      <c r="CF235" s="229"/>
      <c r="CG235" s="220"/>
      <c r="CH235" s="221"/>
      <c r="CI235" s="207"/>
      <c r="CJ235" s="40"/>
      <c r="CK235" s="223"/>
      <c r="CL235" s="222"/>
      <c r="CM235" s="227"/>
      <c r="CN235" s="229"/>
      <c r="CO235" s="220"/>
      <c r="CP235" s="221"/>
      <c r="CQ235" s="207"/>
      <c r="CR235" s="40"/>
      <c r="CS235" s="223"/>
      <c r="CT235" s="222"/>
      <c r="CU235" s="227"/>
      <c r="CV235" s="229"/>
      <c r="CW235" s="220"/>
      <c r="CX235" s="221"/>
      <c r="CY235" s="207"/>
      <c r="CZ235" s="40"/>
      <c r="DA235" s="223"/>
      <c r="DB235" s="222"/>
      <c r="DC235" s="227"/>
      <c r="DD235" s="229"/>
      <c r="DE235" s="220"/>
      <c r="DF235" s="221"/>
      <c r="DG235" s="207"/>
      <c r="DH235" s="40"/>
      <c r="DI235" s="223"/>
      <c r="DJ235" s="222"/>
      <c r="DK235" s="227"/>
      <c r="DL235" s="229"/>
      <c r="DM235" s="220"/>
      <c r="DN235" s="221"/>
      <c r="DO235" s="207"/>
      <c r="DP235" s="40"/>
      <c r="DQ235" s="223"/>
      <c r="DR235" s="222"/>
      <c r="DS235" s="227"/>
      <c r="DT235" s="229"/>
      <c r="DU235" s="220"/>
      <c r="DV235" s="221"/>
      <c r="DW235" s="207"/>
      <c r="DX235" s="40"/>
      <c r="DY235" s="223"/>
      <c r="DZ235" s="222"/>
      <c r="EA235" s="227"/>
      <c r="EB235" s="229"/>
      <c r="EC235" s="220"/>
      <c r="ED235" s="221"/>
      <c r="EE235" s="207"/>
      <c r="EF235" s="40"/>
      <c r="EG235" s="223"/>
      <c r="EH235" s="222"/>
      <c r="EI235" s="227"/>
      <c r="EJ235" s="229"/>
      <c r="EK235" s="220"/>
      <c r="EL235" s="221"/>
      <c r="EM235" s="207"/>
      <c r="EN235" s="40"/>
      <c r="EO235" s="223"/>
      <c r="EP235" s="222"/>
      <c r="EQ235" s="227"/>
      <c r="ER235" s="229"/>
      <c r="ES235" s="220"/>
      <c r="ET235" s="221"/>
      <c r="EU235" s="207"/>
      <c r="EV235" s="40"/>
      <c r="EW235" s="223"/>
      <c r="EX235" s="222"/>
      <c r="EY235" s="227"/>
      <c r="EZ235" s="229"/>
      <c r="FA235" s="220"/>
      <c r="FB235" s="221"/>
      <c r="FC235" s="207"/>
      <c r="FD235" s="40"/>
      <c r="FE235" s="223"/>
      <c r="FF235" s="222"/>
      <c r="FG235" s="227"/>
      <c r="FH235" s="229"/>
      <c r="FI235" s="220"/>
      <c r="FJ235" s="221"/>
      <c r="FK235" s="207"/>
      <c r="FL235" s="40"/>
      <c r="FM235" s="223"/>
      <c r="FN235" s="222"/>
      <c r="FO235" s="227"/>
      <c r="FP235" s="229"/>
      <c r="FQ235" s="220"/>
      <c r="FR235" s="221"/>
      <c r="FS235" s="207"/>
      <c r="FT235" s="40"/>
      <c r="FU235" s="223"/>
      <c r="FV235" s="222"/>
      <c r="FW235" s="227"/>
      <c r="FX235" s="229"/>
      <c r="FY235" s="220"/>
      <c r="FZ235" s="221"/>
      <c r="GA235" s="207"/>
      <c r="GB235" s="40"/>
      <c r="GC235" s="223"/>
      <c r="GD235" s="222"/>
      <c r="GE235" s="227"/>
      <c r="GF235" s="229"/>
      <c r="GG235" s="220"/>
      <c r="GH235" s="221"/>
      <c r="GI235" s="207"/>
      <c r="GJ235" s="40"/>
      <c r="GK235" s="223"/>
      <c r="GL235" s="222"/>
      <c r="GM235" s="227"/>
      <c r="GN235" s="229"/>
      <c r="GO235" s="220"/>
      <c r="GP235" s="221"/>
      <c r="GQ235" s="207"/>
      <c r="GR235" s="40"/>
      <c r="GS235" s="223"/>
      <c r="GT235" s="222"/>
      <c r="GU235" s="227"/>
      <c r="GV235" s="229"/>
      <c r="GW235" s="220"/>
      <c r="GX235" s="221"/>
      <c r="GY235" s="207"/>
      <c r="GZ235" s="40"/>
      <c r="HA235" s="223"/>
      <c r="HB235" s="222"/>
      <c r="HC235" s="227"/>
      <c r="HD235" s="229"/>
      <c r="HE235" s="220"/>
      <c r="HF235" s="221"/>
      <c r="HG235" s="207"/>
      <c r="HH235" s="40"/>
      <c r="HI235" s="223"/>
      <c r="HJ235" s="222"/>
      <c r="HK235" s="227"/>
      <c r="HL235" s="229"/>
      <c r="HM235" s="220"/>
      <c r="HN235" s="221"/>
      <c r="HO235" s="207"/>
      <c r="HP235" s="40"/>
      <c r="HQ235" s="223"/>
      <c r="HR235" s="222"/>
      <c r="HS235" s="227"/>
      <c r="HT235" s="229"/>
      <c r="HU235" s="220"/>
      <c r="HV235" s="221"/>
      <c r="HW235" s="207"/>
      <c r="HX235" s="40"/>
      <c r="HY235" s="223"/>
      <c r="HZ235" s="222"/>
      <c r="IA235" s="227"/>
      <c r="IB235" s="229"/>
      <c r="IC235" s="220"/>
      <c r="ID235" s="221"/>
      <c r="IE235" s="207"/>
      <c r="IF235" s="40"/>
      <c r="IG235" s="223"/>
      <c r="IH235" s="222"/>
      <c r="II235" s="227"/>
      <c r="IJ235" s="229"/>
      <c r="IK235" s="220"/>
      <c r="IL235" s="221"/>
      <c r="IM235" s="207"/>
      <c r="IN235" s="40"/>
      <c r="IO235" s="223"/>
      <c r="IP235" s="222"/>
      <c r="IQ235" s="227"/>
      <c r="IR235" s="229"/>
      <c r="IS235" s="220"/>
      <c r="IT235" s="221"/>
    </row>
    <row r="236" spans="1:254">
      <c r="D236" s="313"/>
      <c r="E236" s="299"/>
      <c r="F236" s="338"/>
    </row>
    <row r="238" spans="1:254">
      <c r="A238" s="223" t="s">
        <v>230</v>
      </c>
    </row>
    <row r="239" spans="1:254" ht="12.75" customHeight="1">
      <c r="A239" s="86" t="s">
        <v>930</v>
      </c>
      <c r="B239" s="1421" t="s">
        <v>1469</v>
      </c>
      <c r="C239" s="1422"/>
      <c r="D239" s="1422"/>
    </row>
    <row r="240" spans="1:254" ht="77.25" customHeight="1">
      <c r="A240" s="86" t="s">
        <v>931</v>
      </c>
      <c r="B240" s="1407" t="s">
        <v>1823</v>
      </c>
      <c r="C240" s="1408"/>
      <c r="D240" s="1408"/>
      <c r="E240" s="1416"/>
      <c r="F240" s="1416"/>
    </row>
    <row r="241" spans="1:8" ht="12.75" customHeight="1">
      <c r="A241" s="86" t="s">
        <v>932</v>
      </c>
      <c r="B241" s="1413" t="s">
        <v>933</v>
      </c>
      <c r="C241" s="1414"/>
      <c r="D241" s="1414"/>
      <c r="E241" s="1415"/>
      <c r="F241" s="1415"/>
    </row>
    <row r="242" spans="1:8" ht="12.75" customHeight="1">
      <c r="A242" s="72" t="s">
        <v>934</v>
      </c>
      <c r="B242" s="1407" t="s">
        <v>1511</v>
      </c>
      <c r="C242" s="1414"/>
      <c r="D242" s="1414"/>
      <c r="E242" s="1415"/>
      <c r="F242" s="1415"/>
    </row>
    <row r="243" spans="1:8" ht="12.75" customHeight="1">
      <c r="A243" s="86" t="s">
        <v>935</v>
      </c>
      <c r="B243" s="1413" t="s">
        <v>936</v>
      </c>
      <c r="C243" s="1414"/>
      <c r="D243" s="1414"/>
      <c r="E243" s="1415"/>
      <c r="F243" s="1415"/>
    </row>
    <row r="244" spans="1:8" ht="12.75" customHeight="1">
      <c r="A244" s="72" t="s">
        <v>937</v>
      </c>
      <c r="B244" s="1413" t="s">
        <v>938</v>
      </c>
      <c r="C244" s="1414"/>
      <c r="D244" s="1414"/>
      <c r="E244" s="1415"/>
      <c r="F244" s="1415"/>
    </row>
    <row r="245" spans="1:8" ht="12.75" customHeight="1">
      <c r="A245" s="72" t="s">
        <v>939</v>
      </c>
      <c r="B245" s="1407" t="s">
        <v>1717</v>
      </c>
      <c r="C245" s="1408"/>
      <c r="D245" s="1408"/>
      <c r="E245" s="1409"/>
      <c r="F245" s="1409"/>
    </row>
    <row r="246" spans="1:8" ht="12.75" customHeight="1">
      <c r="A246" s="72"/>
      <c r="B246" s="1409"/>
      <c r="C246" s="1409"/>
      <c r="D246" s="1409"/>
      <c r="E246" s="1409"/>
      <c r="F246" s="1409"/>
    </row>
    <row r="247" spans="1:8" ht="12.75" customHeight="1">
      <c r="A247" s="72"/>
      <c r="B247" s="1413" t="s">
        <v>940</v>
      </c>
      <c r="C247" s="1414"/>
      <c r="D247" s="1071">
        <v>6.0900000000000003E-2</v>
      </c>
      <c r="E247" s="978" t="s">
        <v>1743</v>
      </c>
      <c r="F247" s="1068" t="s">
        <v>2745</v>
      </c>
      <c r="G247" s="590"/>
    </row>
    <row r="248" spans="1:8" ht="26.25" customHeight="1">
      <c r="A248" s="72" t="s">
        <v>941</v>
      </c>
      <c r="B248" s="1413" t="s">
        <v>942</v>
      </c>
      <c r="C248" s="1414"/>
      <c r="D248" s="1414"/>
      <c r="E248" s="1415"/>
      <c r="F248" s="1415"/>
    </row>
    <row r="249" spans="1:8" ht="27.75" customHeight="1">
      <c r="A249" s="72" t="s">
        <v>943</v>
      </c>
      <c r="B249" s="1413" t="s">
        <v>944</v>
      </c>
      <c r="C249" s="1414"/>
      <c r="D249" s="1414"/>
      <c r="E249" s="1415"/>
      <c r="F249" s="1415"/>
    </row>
    <row r="250" spans="1:8" ht="25.5" customHeight="1">
      <c r="A250" s="86" t="s">
        <v>945</v>
      </c>
      <c r="B250" s="1413" t="s">
        <v>946</v>
      </c>
      <c r="C250" s="1414"/>
      <c r="D250" s="1414"/>
      <c r="E250" s="1415"/>
      <c r="F250" s="1415"/>
    </row>
    <row r="251" spans="1:8" ht="40.4" customHeight="1">
      <c r="A251" s="72" t="s">
        <v>947</v>
      </c>
      <c r="B251" s="1407" t="s">
        <v>1744</v>
      </c>
      <c r="C251" s="1408"/>
      <c r="D251" s="1408"/>
      <c r="E251" s="1416"/>
      <c r="F251" s="1416"/>
      <c r="G251" s="313"/>
    </row>
    <row r="252" spans="1:8" ht="38.25" customHeight="1">
      <c r="A252" s="72" t="s">
        <v>948</v>
      </c>
      <c r="B252" s="1407" t="s">
        <v>1718</v>
      </c>
      <c r="C252" s="1408"/>
      <c r="D252" s="1408"/>
      <c r="E252" s="1409"/>
      <c r="F252" s="1409"/>
      <c r="G252" s="1409"/>
    </row>
    <row r="253" spans="1:8" ht="12.75" customHeight="1">
      <c r="A253" s="72"/>
      <c r="B253" s="1413" t="s">
        <v>940</v>
      </c>
      <c r="C253" s="1414"/>
      <c r="D253" s="1071">
        <v>6.0900000000000003E-2</v>
      </c>
      <c r="E253" s="978" t="s">
        <v>1743</v>
      </c>
      <c r="F253" s="1068" t="s">
        <v>2745</v>
      </c>
      <c r="G253" s="590"/>
    </row>
    <row r="254" spans="1:8" ht="12.75" customHeight="1">
      <c r="A254" s="72" t="s">
        <v>949</v>
      </c>
      <c r="B254" s="1407" t="s">
        <v>2032</v>
      </c>
      <c r="C254" s="1408"/>
      <c r="D254" s="1408"/>
      <c r="E254" s="1409"/>
      <c r="F254" s="1409"/>
      <c r="G254" s="1409"/>
      <c r="H254" s="1409"/>
    </row>
    <row r="255" spans="1:8" ht="12.75" customHeight="1">
      <c r="A255" s="72" t="s">
        <v>950</v>
      </c>
      <c r="B255" s="1407" t="s">
        <v>2033</v>
      </c>
      <c r="C255" s="1408"/>
      <c r="D255" s="1408"/>
      <c r="E255" s="1409"/>
      <c r="F255" s="1409"/>
      <c r="G255" s="1409"/>
    </row>
    <row r="256" spans="1:8" ht="27" customHeight="1">
      <c r="A256" s="568" t="s">
        <v>1673</v>
      </c>
      <c r="B256" s="1407" t="s">
        <v>1759</v>
      </c>
      <c r="C256" s="1408"/>
      <c r="D256" s="1408"/>
      <c r="E256" s="1416"/>
      <c r="F256" s="1416"/>
      <c r="G256" s="313"/>
    </row>
    <row r="257" spans="1:7">
      <c r="A257" s="568" t="s">
        <v>1745</v>
      </c>
      <c r="B257" s="548" t="s">
        <v>1786</v>
      </c>
      <c r="C257" s="41"/>
      <c r="E257" s="41"/>
      <c r="F257" s="41"/>
      <c r="G257" s="313"/>
    </row>
    <row r="258" spans="1:7">
      <c r="A258" s="568" t="s">
        <v>1765</v>
      </c>
      <c r="B258" s="548" t="s">
        <v>1809</v>
      </c>
      <c r="C258" s="41"/>
      <c r="E258" s="313"/>
      <c r="F258" s="313"/>
      <c r="G258" s="313"/>
    </row>
    <row r="259" spans="1:7">
      <c r="A259" s="41"/>
      <c r="B259" s="548" t="s">
        <v>1810</v>
      </c>
      <c r="C259" s="41"/>
      <c r="E259" s="313"/>
      <c r="F259" s="313"/>
      <c r="G259" s="313"/>
    </row>
    <row r="260" spans="1:7">
      <c r="A260" s="41"/>
      <c r="B260" s="548" t="s">
        <v>1811</v>
      </c>
      <c r="C260" s="41"/>
      <c r="E260" s="313"/>
      <c r="F260" s="313"/>
      <c r="G260" s="313"/>
    </row>
    <row r="261" spans="1:7">
      <c r="A261" s="41"/>
      <c r="B261" s="548" t="s">
        <v>1812</v>
      </c>
      <c r="C261" s="41"/>
      <c r="E261" s="313"/>
      <c r="F261" s="313"/>
      <c r="G261" s="313"/>
    </row>
  </sheetData>
  <autoFilter ref="A1:O261" xr:uid="{00000000-0009-0000-0000-00001A000000}"/>
  <mergeCells count="45">
    <mergeCell ref="B256:F256"/>
    <mergeCell ref="J2:M2"/>
    <mergeCell ref="G2:I2"/>
    <mergeCell ref="B205:D205"/>
    <mergeCell ref="B163:D163"/>
    <mergeCell ref="B71:D71"/>
    <mergeCell ref="B38:D38"/>
    <mergeCell ref="B33:D33"/>
    <mergeCell ref="B204:D204"/>
    <mergeCell ref="B172:D172"/>
    <mergeCell ref="B8:D8"/>
    <mergeCell ref="B9:D9"/>
    <mergeCell ref="B37:D37"/>
    <mergeCell ref="B32:D32"/>
    <mergeCell ref="B70:D70"/>
    <mergeCell ref="B136:D136"/>
    <mergeCell ref="B241:F241"/>
    <mergeCell ref="B242:F242"/>
    <mergeCell ref="B244:F244"/>
    <mergeCell ref="B243:F243"/>
    <mergeCell ref="B248:F248"/>
    <mergeCell ref="B240:F240"/>
    <mergeCell ref="B208:C208"/>
    <mergeCell ref="B209:C209"/>
    <mergeCell ref="B211:C211"/>
    <mergeCell ref="B215:D215"/>
    <mergeCell ref="B217:D217"/>
    <mergeCell ref="B216:D216"/>
    <mergeCell ref="B210:C210"/>
    <mergeCell ref="B254:H254"/>
    <mergeCell ref="B255:G255"/>
    <mergeCell ref="B135:D135"/>
    <mergeCell ref="B250:F250"/>
    <mergeCell ref="B251:F251"/>
    <mergeCell ref="B253:C253"/>
    <mergeCell ref="B252:G252"/>
    <mergeCell ref="B168:D168"/>
    <mergeCell ref="B203:D203"/>
    <mergeCell ref="B173:D173"/>
    <mergeCell ref="B239:D239"/>
    <mergeCell ref="B167:D167"/>
    <mergeCell ref="B162:D162"/>
    <mergeCell ref="B247:C247"/>
    <mergeCell ref="B245:F246"/>
    <mergeCell ref="B249:F249"/>
  </mergeCells>
  <conditionalFormatting sqref="A243:A244 C169:C171 D76 C164:C166 C258:C65567 A248:A249 A251:A254 C236:C238 C219:C233 A256:A257 C161 C2:C7 C34:C36 C39:C63 C72:C122 C137:C154 C173:C180 C10:C31 C130:C134 C67:C69">
    <cfRule type="cellIs" dxfId="9" priority="11" stopIfTrue="1" operator="between">
      <formula>4990000</formula>
      <formula>4999999</formula>
    </cfRule>
  </conditionalFormatting>
  <conditionalFormatting sqref="A255">
    <cfRule type="cellIs" dxfId="8" priority="10" stopIfTrue="1" operator="between">
      <formula>4990000</formula>
      <formula>4999999</formula>
    </cfRule>
  </conditionalFormatting>
  <conditionalFormatting sqref="A245:A247">
    <cfRule type="cellIs" dxfId="7" priority="9" stopIfTrue="1" operator="between">
      <formula>4990000</formula>
      <formula>4999999</formula>
    </cfRule>
  </conditionalFormatting>
  <conditionalFormatting sqref="K234:K235 Q234:Q235 Y234:Y235 AG234:AG235 AO234:AO235 AW234:AW235 BE234:BE235 BM234:BM235 BU234:BU235 CC234:CC235 CK234:CK235 CS234:CS235 DA234:DA235 DI234:DI235 DQ234:DQ235 DY234:DY235 EG234:EG235 EO234:EO235 EW234:EW235 FE234:FE235 FM234:FM235 FU234:FU235 GC234:GC235 GK234:GK235 GS234:GS235 HA234:HA235 HI234:HI235 HQ234:HQ235 HY234:HY235 IG234:IG235 IO234:IO235">
    <cfRule type="cellIs" dxfId="6" priority="8" stopIfTrue="1" operator="between">
      <formula>4990000</formula>
      <formula>4999999</formula>
    </cfRule>
  </conditionalFormatting>
  <conditionalFormatting sqref="C234:C235">
    <cfRule type="cellIs" dxfId="5" priority="7" stopIfTrue="1" operator="between">
      <formula>4990000</formula>
      <formula>4999999</formula>
    </cfRule>
  </conditionalFormatting>
  <conditionalFormatting sqref="A258">
    <cfRule type="cellIs" dxfId="4" priority="6" stopIfTrue="1" operator="between">
      <formula>4990000</formula>
      <formula>4999999</formula>
    </cfRule>
  </conditionalFormatting>
  <conditionalFormatting sqref="C64:C66">
    <cfRule type="cellIs" dxfId="3" priority="5" stopIfTrue="1" operator="between">
      <formula>4990000</formula>
      <formula>4999999</formula>
    </cfRule>
  </conditionalFormatting>
  <conditionalFormatting sqref="C123:C129">
    <cfRule type="cellIs" dxfId="2" priority="4" stopIfTrue="1" operator="between">
      <formula>4990000</formula>
      <formula>4999999</formula>
    </cfRule>
  </conditionalFormatting>
  <conditionalFormatting sqref="C155:C156">
    <cfRule type="cellIs" dxfId="1" priority="3" stopIfTrue="1" operator="between">
      <formula>4990000</formula>
      <formula>4999999</formula>
    </cfRule>
  </conditionalFormatting>
  <conditionalFormatting sqref="C157:C160">
    <cfRule type="cellIs" dxfId="0" priority="2" stopIfTrue="1" operator="between">
      <formula>4990000</formula>
      <formula>4999999</formula>
    </cfRule>
  </conditionalFormatting>
  <pageMargins left="0.7" right="0.7" top="0.75" bottom="0.75" header="0.3" footer="0.3"/>
  <pageSetup scale="50" orientation="landscape" cellComments="asDisplayed" r:id="rId1"/>
  <headerFooter>
    <oddHeader>&amp;CSchedule 21
Revenue Credits
&amp;RTO2021 Annual Update
Attachment 5
TO2018 True Up TRR</oddHeader>
    <oddFooter>&amp;R21-RevenueCredits</oddFooter>
  </headerFooter>
  <rowBreaks count="3" manualBreakCount="3">
    <brk id="71" max="16383" man="1"/>
    <brk id="136" max="16383" man="1"/>
    <brk id="205" max="16383" man="1"/>
  </rowBreaks>
  <ignoredErrors>
    <ignoredError sqref="I143"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election activeCell="E19" sqref="E19"/>
    </sheetView>
  </sheetViews>
  <sheetFormatPr defaultColWidth="9.453125" defaultRowHeight="12.5"/>
  <cols>
    <col min="1" max="1" width="4.54296875" style="477" customWidth="1"/>
    <col min="2" max="2" width="14" style="476" customWidth="1"/>
    <col min="3" max="3" width="26.54296875" style="476" customWidth="1"/>
    <col min="4" max="4" width="28.54296875" style="476" customWidth="1"/>
    <col min="5" max="5" width="16.453125" style="476" bestFit="1" customWidth="1"/>
    <col min="6" max="6" width="20.54296875" style="1232" customWidth="1"/>
    <col min="7" max="7" width="9.54296875" style="476" customWidth="1"/>
    <col min="8" max="16384" width="9.453125" style="476"/>
  </cols>
  <sheetData>
    <row r="1" spans="1:8" ht="13">
      <c r="A1" s="83" t="s">
        <v>1072</v>
      </c>
      <c r="C1" s="83"/>
      <c r="D1" s="83"/>
      <c r="E1" s="83"/>
    </row>
    <row r="2" spans="1:8" ht="13">
      <c r="A2" s="83"/>
      <c r="C2" s="83"/>
      <c r="D2" s="83"/>
      <c r="E2" s="935" t="s">
        <v>1724</v>
      </c>
      <c r="F2" s="1051">
        <v>2019</v>
      </c>
    </row>
    <row r="3" spans="1:8" ht="13">
      <c r="B3" s="83" t="s">
        <v>1104</v>
      </c>
      <c r="C3" s="83"/>
      <c r="D3" s="83"/>
      <c r="E3" s="83"/>
    </row>
    <row r="4" spans="1:8" ht="13">
      <c r="A4" s="51" t="s">
        <v>330</v>
      </c>
      <c r="C4" s="83"/>
      <c r="E4" s="3" t="s">
        <v>962</v>
      </c>
      <c r="F4" s="1242" t="s">
        <v>168</v>
      </c>
    </row>
    <row r="5" spans="1:8" ht="13">
      <c r="A5" s="233">
        <v>1</v>
      </c>
      <c r="B5" s="549" t="s">
        <v>1073</v>
      </c>
      <c r="C5" s="549"/>
      <c r="E5" s="743">
        <v>64560040.576577902</v>
      </c>
      <c r="F5" s="1150" t="s">
        <v>212</v>
      </c>
    </row>
    <row r="6" spans="1:8" ht="13">
      <c r="A6" s="233">
        <v>2</v>
      </c>
      <c r="B6" s="476" t="s">
        <v>1074</v>
      </c>
      <c r="E6" s="364">
        <f>E7-E5</f>
        <v>110833276.4234221</v>
      </c>
      <c r="F6" s="1150" t="s">
        <v>2282</v>
      </c>
      <c r="H6" s="1150"/>
    </row>
    <row r="7" spans="1:8" ht="13">
      <c r="A7" s="233">
        <v>3</v>
      </c>
      <c r="B7" s="476" t="s">
        <v>2353</v>
      </c>
      <c r="C7" s="549"/>
      <c r="D7" s="549"/>
      <c r="E7" s="526">
        <v>175393317</v>
      </c>
      <c r="F7" s="480" t="s">
        <v>1222</v>
      </c>
      <c r="H7" s="1150"/>
    </row>
    <row r="8" spans="1:8" ht="14">
      <c r="A8" s="1243"/>
      <c r="B8" s="1233"/>
      <c r="C8" s="1234"/>
      <c r="D8" s="1234"/>
      <c r="E8" s="1230"/>
      <c r="F8" s="1235"/>
      <c r="G8" s="1236"/>
    </row>
    <row r="9" spans="1:8" ht="14">
      <c r="A9" s="1243"/>
      <c r="B9" s="83" t="s">
        <v>1105</v>
      </c>
      <c r="C9" s="1234"/>
      <c r="D9" s="1234"/>
      <c r="E9" s="1230"/>
      <c r="F9" s="1237"/>
      <c r="G9" s="1236"/>
    </row>
    <row r="10" spans="1:8" ht="14">
      <c r="A10" s="572"/>
      <c r="B10" s="549"/>
      <c r="C10" s="549"/>
      <c r="D10" s="549"/>
      <c r="E10" s="1231"/>
      <c r="F10" s="1237"/>
      <c r="G10" s="1236"/>
    </row>
    <row r="11" spans="1:8" ht="14">
      <c r="A11" s="572">
        <v>4</v>
      </c>
      <c r="B11" s="549" t="s">
        <v>1073</v>
      </c>
      <c r="C11" s="549"/>
      <c r="D11" s="549"/>
      <c r="E11" s="1042">
        <v>36762569.307422847</v>
      </c>
      <c r="F11" s="1150" t="s">
        <v>282</v>
      </c>
      <c r="G11" s="1236"/>
    </row>
    <row r="12" spans="1:8" ht="14">
      <c r="A12" s="572">
        <v>5</v>
      </c>
      <c r="B12" s="549" t="s">
        <v>1074</v>
      </c>
      <c r="C12" s="549"/>
      <c r="D12" s="549"/>
      <c r="E12" s="364">
        <f>E13-E11</f>
        <v>144313293.69257715</v>
      </c>
      <c r="F12" s="1150" t="s">
        <v>2283</v>
      </c>
      <c r="G12" s="1236"/>
    </row>
    <row r="13" spans="1:8" ht="14">
      <c r="A13" s="572">
        <v>6</v>
      </c>
      <c r="B13" s="476" t="s">
        <v>2353</v>
      </c>
      <c r="C13" s="549"/>
      <c r="D13" s="549"/>
      <c r="E13" s="526">
        <v>181075863</v>
      </c>
      <c r="F13" s="480" t="s">
        <v>1075</v>
      </c>
      <c r="G13" s="1236"/>
    </row>
    <row r="14" spans="1:8" ht="13">
      <c r="A14" s="233"/>
      <c r="B14" s="549"/>
      <c r="C14" s="549"/>
      <c r="D14" s="549"/>
      <c r="E14" s="1231"/>
      <c r="F14" s="1150"/>
    </row>
    <row r="15" spans="1:8" ht="13">
      <c r="A15" s="233">
        <v>7</v>
      </c>
      <c r="B15" s="549" t="s">
        <v>1076</v>
      </c>
      <c r="C15" s="549"/>
      <c r="D15" s="549"/>
      <c r="E15" s="1231">
        <f>(E5+E11)/2</f>
        <v>50661304.942000374</v>
      </c>
      <c r="F15" s="480" t="str">
        <f>"(Line "&amp;A5&amp;" + Line "&amp;A11&amp;") / 2"</f>
        <v>(Line 1 + Line 4) / 2</v>
      </c>
      <c r="G15" s="691"/>
    </row>
    <row r="16" spans="1:8" ht="13">
      <c r="A16" s="233"/>
      <c r="C16" s="1238"/>
      <c r="D16" s="380"/>
      <c r="E16" s="1231"/>
      <c r="F16" s="1150"/>
    </row>
    <row r="17" spans="1:6" ht="13">
      <c r="A17" s="233">
        <v>8</v>
      </c>
      <c r="B17" s="476" t="s">
        <v>1077</v>
      </c>
      <c r="C17" s="1238"/>
      <c r="D17" s="1238"/>
      <c r="E17" s="1241">
        <v>4075483.5901751588</v>
      </c>
      <c r="F17" s="1150" t="s">
        <v>956</v>
      </c>
    </row>
    <row r="18" spans="1:6" ht="13">
      <c r="A18" s="233">
        <v>9</v>
      </c>
      <c r="B18" s="476" t="s">
        <v>1078</v>
      </c>
      <c r="C18" s="1238"/>
      <c r="D18" s="1238"/>
      <c r="E18" s="364">
        <f>E19-E17</f>
        <v>728407325.40982485</v>
      </c>
      <c r="F18" s="1150" t="s">
        <v>2284</v>
      </c>
    </row>
    <row r="19" spans="1:6" ht="13">
      <c r="A19" s="233">
        <v>10</v>
      </c>
      <c r="B19" s="476" t="s">
        <v>2352</v>
      </c>
      <c r="C19" s="1238"/>
      <c r="D19" s="1238"/>
      <c r="E19" s="526">
        <v>732482809</v>
      </c>
      <c r="F19" s="480" t="s">
        <v>1079</v>
      </c>
    </row>
    <row r="20" spans="1:6">
      <c r="C20" s="1238"/>
      <c r="D20" s="1238"/>
    </row>
    <row r="21" spans="1:6">
      <c r="C21" s="1238"/>
      <c r="D21" s="1238"/>
    </row>
    <row r="22" spans="1:6" ht="13">
      <c r="A22" s="51" t="s">
        <v>230</v>
      </c>
    </row>
    <row r="23" spans="1:6">
      <c r="A23" s="477">
        <v>1</v>
      </c>
      <c r="B23" s="476" t="s">
        <v>1103</v>
      </c>
    </row>
    <row r="24" spans="1:6">
      <c r="A24" s="477">
        <v>2</v>
      </c>
      <c r="B24" s="476" t="s">
        <v>1106</v>
      </c>
    </row>
    <row r="25" spans="1:6">
      <c r="A25" s="477">
        <v>3</v>
      </c>
      <c r="B25" s="476" t="s">
        <v>1670</v>
      </c>
    </row>
    <row r="26" spans="1:6">
      <c r="A26" s="477">
        <v>4</v>
      </c>
      <c r="B26" s="476" t="s">
        <v>1988</v>
      </c>
      <c r="E26" s="1239"/>
    </row>
    <row r="27" spans="1:6">
      <c r="B27" s="476" t="s">
        <v>1987</v>
      </c>
      <c r="E27" s="1239"/>
    </row>
    <row r="28" spans="1:6">
      <c r="E28" s="1239"/>
    </row>
    <row r="29" spans="1:6">
      <c r="A29" s="476"/>
      <c r="E29" s="1239"/>
    </row>
    <row r="30" spans="1:6">
      <c r="A30" s="476"/>
      <c r="E30" s="1239"/>
    </row>
    <row r="31" spans="1:6">
      <c r="A31" s="476"/>
      <c r="E31" s="1239"/>
    </row>
    <row r="32" spans="1:6">
      <c r="A32" s="476"/>
      <c r="E32" s="1239"/>
    </row>
    <row r="36" spans="1:5">
      <c r="A36" s="476"/>
      <c r="C36" s="1240"/>
      <c r="D36" s="1240"/>
      <c r="E36" s="1240"/>
    </row>
    <row r="37" spans="1:5">
      <c r="A37" s="476"/>
      <c r="C37" s="1240"/>
      <c r="D37" s="1240"/>
      <c r="E37" s="1240"/>
    </row>
    <row r="38" spans="1:5">
      <c r="A38" s="476"/>
      <c r="C38" s="1240"/>
      <c r="D38" s="1240"/>
      <c r="E38" s="1240"/>
    </row>
    <row r="39" spans="1:5">
      <c r="A39" s="476"/>
      <c r="C39" s="1240"/>
      <c r="D39" s="1240"/>
      <c r="E39" s="1240"/>
    </row>
    <row r="40" spans="1:5">
      <c r="A40" s="476"/>
      <c r="C40" s="1240"/>
      <c r="D40" s="1240"/>
      <c r="E40" s="1240"/>
    </row>
    <row r="41" spans="1:5">
      <c r="A41" s="476"/>
      <c r="C41" s="1240"/>
      <c r="D41" s="1240"/>
      <c r="E41" s="1240"/>
    </row>
    <row r="42" spans="1:5">
      <c r="A42" s="476"/>
      <c r="C42" s="1240"/>
      <c r="D42" s="1240"/>
      <c r="E42" s="1240"/>
    </row>
    <row r="43" spans="1:5">
      <c r="A43" s="476"/>
      <c r="C43" s="1240"/>
      <c r="D43" s="1240"/>
      <c r="E43" s="1240"/>
    </row>
    <row r="44" spans="1:5">
      <c r="A44" s="476"/>
      <c r="C44" s="1240"/>
      <c r="D44" s="1240"/>
      <c r="E44" s="1240"/>
    </row>
    <row r="45" spans="1:5">
      <c r="A45" s="476"/>
      <c r="C45" s="1240"/>
      <c r="D45" s="1240"/>
      <c r="E45" s="1240"/>
    </row>
    <row r="46" spans="1:5">
      <c r="A46" s="476"/>
      <c r="C46" s="1240"/>
      <c r="D46" s="1240"/>
      <c r="E46" s="1240"/>
    </row>
    <row r="47" spans="1:5">
      <c r="A47" s="476"/>
      <c r="C47" s="1240"/>
      <c r="D47" s="1240"/>
      <c r="E47" s="1240"/>
    </row>
    <row r="48" spans="1:5">
      <c r="A48" s="476"/>
      <c r="C48" s="1240"/>
      <c r="D48" s="1240"/>
      <c r="E48" s="1240"/>
    </row>
    <row r="51" spans="1:5">
      <c r="A51" s="476"/>
      <c r="E51" s="1240"/>
    </row>
  </sheetData>
  <pageMargins left="0.7" right="0.7" top="0.75" bottom="0.75" header="0.3" footer="0.3"/>
  <pageSetup scale="75" orientation="portrait" cellComments="asDisplayed" r:id="rId1"/>
  <headerFooter>
    <oddHeader>&amp;CSchedule 22
Network Upgrade Credits and Interest Expense
&amp;RTO2021 Annual Update
Attachment 5
TO2018 True Up TRR</oddHeader>
    <oddFooter>&amp;R22-NUCs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39"/>
  <sheetViews>
    <sheetView zoomScaleNormal="100" zoomScalePageLayoutView="9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11" ht="13">
      <c r="A1" s="699" t="s">
        <v>1709</v>
      </c>
      <c r="B1" s="700"/>
      <c r="C1" s="700"/>
      <c r="D1" s="700"/>
      <c r="E1" s="700"/>
      <c r="F1" s="700"/>
      <c r="G1" s="700"/>
      <c r="H1" s="14"/>
      <c r="I1" s="14"/>
      <c r="J1" s="14"/>
      <c r="K1" s="14"/>
    </row>
    <row r="2" spans="1:11">
      <c r="A2" s="14"/>
      <c r="B2" s="14"/>
      <c r="C2" s="14"/>
      <c r="D2" s="14"/>
      <c r="E2" s="14"/>
      <c r="F2" s="14"/>
      <c r="G2" s="14"/>
      <c r="H2" s="14"/>
      <c r="I2" s="14"/>
      <c r="J2" s="14"/>
      <c r="K2" s="14"/>
    </row>
    <row r="3" spans="1:11" ht="13">
      <c r="A3" s="701" t="s">
        <v>330</v>
      </c>
      <c r="B3" s="700"/>
      <c r="C3" s="700"/>
      <c r="D3" s="700"/>
      <c r="E3" s="700"/>
      <c r="F3" s="700"/>
      <c r="G3" s="700"/>
      <c r="H3" s="14"/>
      <c r="I3" s="14"/>
      <c r="J3" s="14"/>
      <c r="K3" s="14"/>
    </row>
    <row r="4" spans="1:11" ht="13">
      <c r="A4" s="702">
        <v>1</v>
      </c>
      <c r="B4" s="588" t="s">
        <v>1698</v>
      </c>
      <c r="C4" s="700"/>
      <c r="D4" s="700"/>
      <c r="E4" s="700"/>
      <c r="F4" s="700"/>
      <c r="G4" s="700"/>
      <c r="H4" s="14"/>
      <c r="I4" s="14"/>
      <c r="J4" s="14"/>
      <c r="K4" s="14"/>
    </row>
    <row r="5" spans="1:11" ht="13">
      <c r="A5" s="702">
        <v>2</v>
      </c>
      <c r="B5" s="588" t="s">
        <v>1699</v>
      </c>
      <c r="C5" s="700"/>
      <c r="D5" s="700"/>
      <c r="E5" s="700"/>
      <c r="F5" s="700"/>
      <c r="G5" s="700"/>
      <c r="H5" s="14"/>
      <c r="I5" s="14"/>
      <c r="J5" s="14"/>
      <c r="K5" s="14"/>
    </row>
    <row r="6" spans="1:11" ht="13">
      <c r="A6" s="702">
        <v>3</v>
      </c>
      <c r="B6" s="588" t="s">
        <v>1700</v>
      </c>
      <c r="C6" s="700"/>
      <c r="D6" s="700"/>
      <c r="E6" s="700"/>
      <c r="F6" s="700"/>
      <c r="G6" s="700"/>
      <c r="H6" s="14"/>
      <c r="I6" s="14"/>
      <c r="J6" s="14"/>
      <c r="K6" s="14"/>
    </row>
    <row r="7" spans="1:11" ht="13">
      <c r="A7" s="702">
        <v>4</v>
      </c>
      <c r="B7" s="700"/>
      <c r="C7" s="700"/>
      <c r="D7" s="700"/>
      <c r="E7" s="700"/>
      <c r="F7" s="700"/>
      <c r="G7" s="700"/>
      <c r="H7" s="14"/>
      <c r="I7" s="14"/>
      <c r="J7" s="14"/>
      <c r="K7" s="14"/>
    </row>
    <row r="8" spans="1:11" ht="13">
      <c r="A8" s="702">
        <v>5</v>
      </c>
      <c r="B8" s="588" t="s">
        <v>409</v>
      </c>
      <c r="C8" s="700"/>
      <c r="D8" s="700"/>
      <c r="E8" s="700"/>
      <c r="F8" s="700"/>
      <c r="G8" s="700"/>
      <c r="H8" s="14"/>
      <c r="I8" s="14"/>
      <c r="J8" s="14"/>
      <c r="K8" s="14"/>
    </row>
    <row r="9" spans="1:11" ht="13">
      <c r="A9" s="702">
        <v>6</v>
      </c>
      <c r="B9" s="588" t="s">
        <v>408</v>
      </c>
      <c r="C9" s="700"/>
      <c r="D9" s="700"/>
      <c r="E9" s="700"/>
      <c r="F9" s="700"/>
      <c r="G9" s="700"/>
      <c r="H9" s="14"/>
      <c r="I9" s="14"/>
      <c r="J9" s="14"/>
      <c r="K9" s="14"/>
    </row>
    <row r="10" spans="1:11" ht="13">
      <c r="A10" s="702">
        <v>7</v>
      </c>
      <c r="B10" s="700"/>
      <c r="C10" s="700"/>
      <c r="D10" s="700"/>
      <c r="E10" s="700"/>
      <c r="F10" s="700"/>
      <c r="G10" s="700"/>
      <c r="H10" s="14"/>
      <c r="I10" s="14"/>
      <c r="J10" s="14"/>
      <c r="K10" s="14"/>
    </row>
    <row r="11" spans="1:11" ht="13">
      <c r="A11" s="702">
        <v>8</v>
      </c>
      <c r="B11" s="588" t="s">
        <v>1701</v>
      </c>
      <c r="C11" s="700"/>
      <c r="D11" s="700"/>
      <c r="E11" s="700"/>
      <c r="F11" s="700"/>
      <c r="G11" s="700"/>
      <c r="H11" s="14"/>
      <c r="I11" s="14"/>
      <c r="J11" s="14"/>
      <c r="K11" s="14"/>
    </row>
    <row r="12" spans="1:11" ht="13">
      <c r="A12" s="702">
        <v>9</v>
      </c>
      <c r="B12" s="588" t="s">
        <v>1702</v>
      </c>
      <c r="C12" s="700"/>
      <c r="D12" s="700"/>
      <c r="E12" s="700"/>
      <c r="F12" s="700"/>
      <c r="G12" s="700"/>
      <c r="H12" s="14"/>
      <c r="I12" s="14"/>
      <c r="J12" s="14"/>
      <c r="K12" s="14"/>
    </row>
    <row r="13" spans="1:11" ht="13">
      <c r="A13" s="702">
        <v>10</v>
      </c>
      <c r="B13" s="588" t="s">
        <v>1703</v>
      </c>
      <c r="C13" s="700"/>
      <c r="D13" s="700"/>
      <c r="E13" s="700"/>
      <c r="F13" s="700"/>
      <c r="G13" s="700"/>
      <c r="H13" s="14"/>
      <c r="I13" s="14"/>
      <c r="J13" s="14"/>
      <c r="K13" s="14"/>
    </row>
    <row r="14" spans="1:11" ht="13">
      <c r="A14" s="702">
        <v>11</v>
      </c>
      <c r="B14" s="700"/>
      <c r="C14" s="700"/>
      <c r="D14" s="700"/>
      <c r="E14" s="700"/>
      <c r="F14" s="700"/>
      <c r="G14" s="700"/>
      <c r="H14" s="14"/>
      <c r="I14" s="14"/>
      <c r="J14" s="14"/>
      <c r="K14" s="14"/>
    </row>
    <row r="15" spans="1:11" ht="13">
      <c r="A15" s="702">
        <v>12</v>
      </c>
      <c r="B15" s="588"/>
      <c r="C15" s="700"/>
      <c r="D15" s="700"/>
      <c r="E15" s="702" t="s">
        <v>63</v>
      </c>
      <c r="F15" s="700"/>
      <c r="G15" s="700"/>
      <c r="H15" s="14"/>
      <c r="I15" s="14"/>
      <c r="J15" s="14"/>
      <c r="K15" s="14"/>
    </row>
    <row r="16" spans="1:11" ht="13">
      <c r="A16" s="702">
        <v>13</v>
      </c>
      <c r="B16" s="700"/>
      <c r="C16" s="700"/>
      <c r="D16" s="700"/>
      <c r="E16" s="979" t="s">
        <v>175</v>
      </c>
      <c r="F16" s="700"/>
      <c r="G16" s="980" t="s">
        <v>1869</v>
      </c>
      <c r="H16" s="14"/>
      <c r="I16" s="14"/>
      <c r="J16" s="14"/>
      <c r="K16" s="14"/>
    </row>
    <row r="17" spans="1:11" ht="13">
      <c r="A17" s="702">
        <v>14</v>
      </c>
      <c r="B17" s="588" t="s">
        <v>410</v>
      </c>
      <c r="C17" s="700"/>
      <c r="D17" s="700"/>
      <c r="E17" s="583">
        <f>D29</f>
        <v>0</v>
      </c>
      <c r="F17" s="700"/>
      <c r="G17" s="588" t="s">
        <v>500</v>
      </c>
      <c r="H17" s="14"/>
      <c r="I17" s="14"/>
      <c r="J17" s="14"/>
      <c r="K17" s="14"/>
    </row>
    <row r="18" spans="1:11" ht="13">
      <c r="A18" s="702">
        <v>15</v>
      </c>
      <c r="B18" s="588" t="s">
        <v>1623</v>
      </c>
      <c r="C18" s="700"/>
      <c r="D18" s="700"/>
      <c r="E18" s="583">
        <f>(C29+D29)/2</f>
        <v>0</v>
      </c>
      <c r="F18" s="700"/>
      <c r="G18" s="588" t="s">
        <v>1870</v>
      </c>
      <c r="H18" s="14"/>
      <c r="I18" s="14"/>
      <c r="J18" s="14"/>
      <c r="K18" s="14"/>
    </row>
    <row r="19" spans="1:11" ht="13">
      <c r="A19" s="702">
        <v>16</v>
      </c>
      <c r="B19" s="588" t="s">
        <v>1704</v>
      </c>
      <c r="C19" s="700"/>
      <c r="D19" s="700"/>
      <c r="E19" s="583">
        <f>E29</f>
        <v>0</v>
      </c>
      <c r="F19" s="700"/>
      <c r="G19" s="588" t="s">
        <v>1871</v>
      </c>
      <c r="H19" s="14"/>
      <c r="I19" s="14"/>
      <c r="J19" s="14"/>
      <c r="K19" s="14"/>
    </row>
    <row r="20" spans="1:11" ht="13">
      <c r="A20" s="702"/>
      <c r="B20" s="588"/>
      <c r="C20" s="700"/>
      <c r="D20" s="700"/>
      <c r="E20" s="583"/>
      <c r="F20" s="700"/>
      <c r="G20" s="700"/>
      <c r="H20" s="14"/>
      <c r="I20" s="14"/>
      <c r="J20" s="14"/>
      <c r="K20" s="14"/>
    </row>
    <row r="21" spans="1:11" ht="13">
      <c r="A21" s="702"/>
      <c r="B21" s="700"/>
      <c r="C21" s="708" t="s">
        <v>359</v>
      </c>
      <c r="D21" s="708" t="s">
        <v>343</v>
      </c>
      <c r="E21" s="708" t="s">
        <v>344</v>
      </c>
      <c r="F21" s="700"/>
      <c r="G21" s="700"/>
      <c r="H21" s="14"/>
      <c r="I21" s="14"/>
      <c r="J21" s="14"/>
      <c r="K21" s="14"/>
    </row>
    <row r="22" spans="1:11" ht="13">
      <c r="A22" s="702"/>
      <c r="B22" s="700"/>
      <c r="C22" s="702" t="s">
        <v>63</v>
      </c>
      <c r="D22" s="702" t="s">
        <v>63</v>
      </c>
      <c r="E22" s="702" t="s">
        <v>63</v>
      </c>
      <c r="F22" s="700"/>
      <c r="G22" s="700"/>
      <c r="H22" s="14"/>
      <c r="I22" s="14"/>
      <c r="J22" s="14"/>
      <c r="K22" s="14"/>
    </row>
    <row r="23" spans="1:11" ht="14.5">
      <c r="A23" s="702"/>
      <c r="B23" s="702" t="s">
        <v>411</v>
      </c>
      <c r="C23" s="702" t="s">
        <v>381</v>
      </c>
      <c r="D23" s="702" t="s">
        <v>300</v>
      </c>
      <c r="E23" s="981" t="s">
        <v>1705</v>
      </c>
      <c r="F23" s="700"/>
      <c r="G23" s="982" t="s">
        <v>1872</v>
      </c>
      <c r="H23" s="929"/>
      <c r="I23" s="14"/>
      <c r="J23" s="14"/>
      <c r="K23" s="14"/>
    </row>
    <row r="24" spans="1:11" ht="13">
      <c r="A24" s="702"/>
      <c r="B24" s="702" t="s">
        <v>412</v>
      </c>
      <c r="C24" s="702" t="s">
        <v>414</v>
      </c>
      <c r="D24" s="702" t="s">
        <v>414</v>
      </c>
      <c r="E24" s="702" t="s">
        <v>415</v>
      </c>
      <c r="F24" s="700"/>
      <c r="G24" s="982" t="s">
        <v>1873</v>
      </c>
      <c r="H24" s="929"/>
      <c r="I24" s="14"/>
      <c r="J24" s="14"/>
      <c r="K24" s="14"/>
    </row>
    <row r="25" spans="1:11" ht="13">
      <c r="A25" s="702"/>
      <c r="B25" s="979" t="s">
        <v>413</v>
      </c>
      <c r="C25" s="979" t="s">
        <v>413</v>
      </c>
      <c r="D25" s="979" t="s">
        <v>413</v>
      </c>
      <c r="E25" s="979" t="s">
        <v>1706</v>
      </c>
      <c r="F25" s="700"/>
      <c r="G25" s="983" t="s">
        <v>1874</v>
      </c>
      <c r="H25" s="929"/>
      <c r="I25" s="14"/>
      <c r="J25" s="14"/>
      <c r="K25" s="14"/>
    </row>
    <row r="26" spans="1:11" ht="13">
      <c r="A26" s="579">
        <v>17</v>
      </c>
      <c r="B26" s="584"/>
      <c r="C26" s="585"/>
      <c r="D26" s="585"/>
      <c r="E26" s="585"/>
      <c r="F26" s="577"/>
      <c r="G26" s="599"/>
      <c r="H26" s="95"/>
    </row>
    <row r="27" spans="1:11" ht="13">
      <c r="A27" s="579">
        <v>18</v>
      </c>
      <c r="B27" s="584"/>
      <c r="C27" s="585"/>
      <c r="D27" s="585"/>
      <c r="E27" s="585"/>
      <c r="F27" s="577"/>
      <c r="G27" s="599"/>
      <c r="H27" s="95"/>
    </row>
    <row r="28" spans="1:11" ht="13">
      <c r="A28" s="579">
        <v>19</v>
      </c>
      <c r="B28" s="584"/>
      <c r="C28" s="586"/>
      <c r="D28" s="586"/>
      <c r="E28" s="586"/>
      <c r="F28" s="577"/>
      <c r="G28" s="599"/>
      <c r="H28" s="95"/>
    </row>
    <row r="29" spans="1:11" ht="13">
      <c r="A29" s="579">
        <v>20</v>
      </c>
      <c r="B29" s="580" t="s">
        <v>197</v>
      </c>
      <c r="C29" s="587">
        <f>SUM(C26:C28)</f>
        <v>0</v>
      </c>
      <c r="D29" s="587">
        <f>SUM(D26:D28)</f>
        <v>0</v>
      </c>
      <c r="E29" s="587">
        <f>SUM(E26:E28)</f>
        <v>0</v>
      </c>
      <c r="F29" s="577"/>
      <c r="G29" s="580" t="s">
        <v>326</v>
      </c>
    </row>
    <row r="30" spans="1:11" ht="13">
      <c r="A30" s="579"/>
      <c r="B30" s="577"/>
      <c r="C30" s="577"/>
      <c r="D30" s="577"/>
      <c r="E30" s="577"/>
      <c r="F30" s="577"/>
      <c r="G30" s="577"/>
    </row>
    <row r="31" spans="1:11" ht="13">
      <c r="A31" s="579"/>
      <c r="B31" s="576" t="s">
        <v>378</v>
      </c>
      <c r="C31" s="577"/>
      <c r="D31" s="577"/>
      <c r="E31" s="577"/>
      <c r="F31" s="577"/>
      <c r="G31" s="577"/>
    </row>
    <row r="32" spans="1:11" ht="13">
      <c r="A32" s="579"/>
      <c r="B32" s="588" t="s">
        <v>1707</v>
      </c>
      <c r="C32" s="700"/>
      <c r="D32" s="700"/>
      <c r="E32" s="700"/>
      <c r="F32" s="700"/>
      <c r="G32" s="700"/>
      <c r="H32" s="14"/>
    </row>
    <row r="33" spans="1:8" ht="13">
      <c r="A33" s="579"/>
      <c r="B33" s="588" t="s">
        <v>416</v>
      </c>
      <c r="C33" s="14"/>
      <c r="D33" s="14"/>
      <c r="E33" s="14"/>
      <c r="F33" s="14"/>
      <c r="G33" s="14"/>
      <c r="H33" s="14"/>
    </row>
    <row r="34" spans="1:8" ht="13">
      <c r="A34" s="579"/>
      <c r="B34" s="984" t="s">
        <v>501</v>
      </c>
      <c r="C34" s="14"/>
      <c r="D34" s="14"/>
      <c r="E34" s="14"/>
      <c r="F34" s="14"/>
      <c r="G34" s="14"/>
      <c r="H34" s="14"/>
    </row>
    <row r="35" spans="1:8" ht="13">
      <c r="A35" s="579"/>
      <c r="B35" s="984" t="s">
        <v>502</v>
      </c>
      <c r="C35" s="14"/>
      <c r="D35" s="14"/>
      <c r="E35" s="929"/>
      <c r="F35" s="14"/>
      <c r="G35" s="14"/>
      <c r="H35" s="14"/>
    </row>
    <row r="36" spans="1:8" ht="13">
      <c r="A36" s="579"/>
      <c r="B36" s="588" t="s">
        <v>417</v>
      </c>
      <c r="C36" s="14"/>
      <c r="D36" s="14"/>
      <c r="E36" s="14"/>
      <c r="F36" s="14"/>
      <c r="G36" s="14"/>
      <c r="H36" s="14"/>
    </row>
    <row r="37" spans="1:8" ht="13">
      <c r="A37" s="579"/>
    </row>
    <row r="38" spans="1:8" ht="13">
      <c r="A38" s="579"/>
      <c r="B38" s="577"/>
    </row>
    <row r="39" spans="1:8" ht="13">
      <c r="A39" s="579"/>
      <c r="B39" s="577"/>
    </row>
  </sheetData>
  <pageMargins left="0.7" right="0.7" top="0.75" bottom="0.75" header="0.3" footer="0.3"/>
  <pageSetup orientation="landscape" cellComments="asDisplayed" r:id="rId1"/>
  <headerFooter>
    <oddHeader>&amp;CSchedule 23
Regulatory Assets and Liabilities
&amp;RTO2021 Annual Update
Attachment 5
TO2018 True Up TRR</oddHeader>
    <oddFooter>&amp;R23-RegAssets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23"/>
  <sheetViews>
    <sheetView zoomScaleNormal="100" workbookViewId="0"/>
  </sheetViews>
  <sheetFormatPr defaultRowHeight="12.5"/>
  <cols>
    <col min="1" max="1" width="3.54296875" customWidth="1"/>
    <col min="2" max="2" width="45.54296875" customWidth="1"/>
    <col min="3" max="3" width="13.54296875" bestFit="1" customWidth="1"/>
  </cols>
  <sheetData>
    <row r="1" spans="1:6" ht="13">
      <c r="A1" s="1" t="s">
        <v>1423</v>
      </c>
    </row>
    <row r="3" spans="1:6">
      <c r="A3" s="476" t="s">
        <v>1645</v>
      </c>
    </row>
    <row r="5" spans="1:6" ht="13">
      <c r="B5" s="3" t="s">
        <v>174</v>
      </c>
      <c r="C5" s="3" t="s">
        <v>175</v>
      </c>
    </row>
    <row r="6" spans="1:6">
      <c r="B6" t="s">
        <v>95</v>
      </c>
      <c r="C6" s="7">
        <f>'1-BaseTRR'!K142</f>
        <v>1069451026.9991657</v>
      </c>
    </row>
    <row r="7" spans="1:6">
      <c r="B7" t="s">
        <v>319</v>
      </c>
      <c r="C7" s="7">
        <f>'1-BaseTRR'!K148</f>
        <v>101099692.03110665</v>
      </c>
    </row>
    <row r="8" spans="1:6" ht="13">
      <c r="B8" t="s">
        <v>96</v>
      </c>
      <c r="C8" s="99">
        <f>'1-BaseTRR'!K149</f>
        <v>-74152916.40923591</v>
      </c>
      <c r="E8" s="1"/>
    </row>
    <row r="9" spans="1:6" ht="13">
      <c r="B9" s="478" t="s">
        <v>1879</v>
      </c>
      <c r="C9" s="91">
        <f>'1-BaseTRR'!K150</f>
        <v>0</v>
      </c>
      <c r="E9" s="1"/>
    </row>
    <row r="10" spans="1:6">
      <c r="B10" t="s">
        <v>1646</v>
      </c>
      <c r="C10" s="7">
        <f>SUM(C6:C9)</f>
        <v>1096397802.6210363</v>
      </c>
    </row>
    <row r="12" spans="1:6">
      <c r="A12" t="s">
        <v>547</v>
      </c>
    </row>
    <row r="14" spans="1:6">
      <c r="B14" t="s">
        <v>203</v>
      </c>
    </row>
    <row r="15" spans="1:6">
      <c r="B15" s="480" t="s">
        <v>1781</v>
      </c>
      <c r="E15" s="14"/>
      <c r="F15" s="14"/>
    </row>
    <row r="16" spans="1:6">
      <c r="B16" s="16"/>
    </row>
    <row r="17" spans="2:2">
      <c r="B17" t="s">
        <v>546</v>
      </c>
    </row>
    <row r="18" spans="2:2">
      <c r="B18" s="478" t="s">
        <v>1782</v>
      </c>
    </row>
    <row r="19" spans="2:2">
      <c r="B19" s="16"/>
    </row>
    <row r="20" spans="2:2">
      <c r="B20" s="65" t="s">
        <v>1201</v>
      </c>
    </row>
    <row r="21" spans="2:2">
      <c r="B21" s="475" t="s">
        <v>1783</v>
      </c>
    </row>
    <row r="23" spans="2:2">
      <c r="B23" s="478" t="s">
        <v>1880</v>
      </c>
    </row>
  </sheetData>
  <phoneticPr fontId="23" type="noConversion"/>
  <pageMargins left="0.75" right="0.75" top="1.25" bottom="1" header="0.5" footer="0.5"/>
  <pageSetup orientation="landscape" r:id="rId1"/>
  <headerFooter alignWithMargins="0">
    <oddHeader>&amp;COverview&amp;RTO2021 Annual Update
Attachment 5
TO2018 True Up TRR</oddHeader>
    <oddFooter>&amp;ROverview</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95"/>
  <sheetViews>
    <sheetView zoomScaleNormal="100" zoomScalePageLayoutView="70" workbookViewId="0"/>
  </sheetViews>
  <sheetFormatPr defaultRowHeight="12.5"/>
  <cols>
    <col min="1" max="2" width="4.54296875" customWidth="1"/>
    <col min="3" max="3" width="28.54296875" customWidth="1"/>
    <col min="4" max="8" width="14.54296875" customWidth="1"/>
  </cols>
  <sheetData>
    <row r="1" spans="1:9" ht="14.5">
      <c r="A1" s="1" t="s">
        <v>1237</v>
      </c>
      <c r="I1" s="369"/>
    </row>
    <row r="3" spans="1:9" ht="13">
      <c r="B3" s="1" t="s">
        <v>1499</v>
      </c>
    </row>
    <row r="4" spans="1:9" ht="13">
      <c r="B4" s="1"/>
    </row>
    <row r="5" spans="1:9" ht="13">
      <c r="B5" s="1"/>
      <c r="C5" s="1" t="s">
        <v>1388</v>
      </c>
      <c r="D5" s="84" t="s">
        <v>359</v>
      </c>
      <c r="E5" s="84" t="s">
        <v>343</v>
      </c>
      <c r="F5" s="84" t="s">
        <v>344</v>
      </c>
    </row>
    <row r="6" spans="1:9" ht="14.5">
      <c r="D6" s="241" t="s">
        <v>63</v>
      </c>
      <c r="E6" s="241" t="s">
        <v>63</v>
      </c>
      <c r="F6" s="241" t="s">
        <v>198</v>
      </c>
    </row>
    <row r="7" spans="1:9" ht="14.5">
      <c r="C7" s="1"/>
      <c r="D7" s="241" t="s">
        <v>300</v>
      </c>
      <c r="E7" s="241" t="s">
        <v>229</v>
      </c>
      <c r="F7" s="241" t="s">
        <v>199</v>
      </c>
    </row>
    <row r="8" spans="1:9" ht="13">
      <c r="A8" s="3" t="s">
        <v>330</v>
      </c>
      <c r="C8" s="3" t="s">
        <v>224</v>
      </c>
      <c r="D8" s="3" t="s">
        <v>175</v>
      </c>
      <c r="E8" s="3" t="s">
        <v>175</v>
      </c>
      <c r="F8" s="3" t="s">
        <v>175</v>
      </c>
      <c r="G8" s="3" t="s">
        <v>179</v>
      </c>
    </row>
    <row r="9" spans="1:9" ht="13">
      <c r="A9" s="2">
        <v>1</v>
      </c>
      <c r="C9" s="92" t="s">
        <v>1250</v>
      </c>
      <c r="D9" s="7">
        <f>'10-CWIP'!E25</f>
        <v>157682.99</v>
      </c>
      <c r="E9" s="7">
        <f>'10-CWIP'!E26</f>
        <v>156779.51307692306</v>
      </c>
      <c r="F9" s="7">
        <f>'10-CWIP'!K113</f>
        <v>-157682.99000000002</v>
      </c>
      <c r="G9" s="46" t="str">
        <f>"10-CWIP, Lines "&amp;'10-CWIP'!A25&amp;", "&amp;'10-CWIP'!A26&amp;", "&amp;'10-CWIP'!A113&amp;""</f>
        <v>10-CWIP, Lines 13, 14, 80</v>
      </c>
    </row>
    <row r="10" spans="1:9" ht="13">
      <c r="A10" s="2">
        <f>A9+1</f>
        <v>2</v>
      </c>
      <c r="C10" s="92" t="s">
        <v>1251</v>
      </c>
      <c r="D10" s="7">
        <f>'10-CWIP'!F25</f>
        <v>0</v>
      </c>
      <c r="E10" s="7">
        <f>'10-CWIP'!F26</f>
        <v>0</v>
      </c>
      <c r="F10" s="7">
        <f>'10-CWIP'!K146</f>
        <v>0</v>
      </c>
      <c r="G10" s="46" t="str">
        <f>"10-CWIP, Lines "&amp;'10-CWIP'!A25&amp;", "&amp;'10-CWIP'!A26&amp;", "&amp;'10-CWIP'!A146&amp;""</f>
        <v>10-CWIP, Lines 13, 14, 106</v>
      </c>
    </row>
    <row r="11" spans="1:9" ht="13">
      <c r="A11" s="2">
        <f t="shared" ref="A11:A20" si="0">A10+1</f>
        <v>3</v>
      </c>
      <c r="C11" s="474" t="s">
        <v>1255</v>
      </c>
      <c r="D11" s="7">
        <f>'10-CWIP'!G25</f>
        <v>5584199.04</v>
      </c>
      <c r="E11" s="7">
        <f>'10-CWIP'!G26</f>
        <v>5454201.1723076934</v>
      </c>
      <c r="F11" s="7">
        <f>'10-CWIP'!K177</f>
        <v>21500</v>
      </c>
      <c r="G11" s="46" t="str">
        <f>"10-CWIP, Lines "&amp;'10-CWIP'!A25&amp;", "&amp;'10-CWIP'!A26&amp;", "&amp;'10-CWIP'!A177&amp;""</f>
        <v>10-CWIP, Lines 13, 14, 132</v>
      </c>
    </row>
    <row r="12" spans="1:9" ht="13">
      <c r="A12" s="2">
        <f t="shared" si="0"/>
        <v>4</v>
      </c>
      <c r="C12" s="474" t="s">
        <v>1256</v>
      </c>
      <c r="D12" s="7">
        <f>'10-CWIP'!H25</f>
        <v>468121962.68000001</v>
      </c>
      <c r="E12" s="7">
        <f>'10-CWIP'!H26</f>
        <v>355612330.7961539</v>
      </c>
      <c r="F12" s="7">
        <f>'10-CWIP'!K210</f>
        <v>-419183167.20692325</v>
      </c>
      <c r="G12" s="46" t="str">
        <f>"10-CWIP, Lines "&amp;'10-CWIP'!A25&amp;", "&amp;'10-CWIP'!A26&amp;", "&amp;'10-CWIP'!A210&amp;""</f>
        <v>10-CWIP, Lines 13, 14, 158</v>
      </c>
    </row>
    <row r="13" spans="1:9" ht="13">
      <c r="A13" s="2">
        <f t="shared" si="0"/>
        <v>5</v>
      </c>
      <c r="C13" s="92" t="s">
        <v>1252</v>
      </c>
      <c r="D13" s="7">
        <f>'10-CWIP'!I25</f>
        <v>0</v>
      </c>
      <c r="E13" s="7">
        <f>'10-CWIP'!I26</f>
        <v>0</v>
      </c>
      <c r="F13" s="7">
        <f>'10-CWIP'!K241</f>
        <v>0</v>
      </c>
      <c r="G13" s="46" t="str">
        <f>"10-CWIP, Lines "&amp;'10-CWIP'!A25&amp;", "&amp;'10-CWIP'!A26&amp;", "&amp;'10-CWIP'!A241&amp;""</f>
        <v>10-CWIP, Lines 13, 14, 184</v>
      </c>
    </row>
    <row r="14" spans="1:9" ht="13">
      <c r="A14" s="2">
        <f t="shared" si="0"/>
        <v>6</v>
      </c>
      <c r="C14" s="92" t="s">
        <v>1253</v>
      </c>
      <c r="D14" s="7">
        <f>'10-CWIP'!D45</f>
        <v>0</v>
      </c>
      <c r="E14" s="7">
        <f>'10-CWIP'!D46</f>
        <v>0</v>
      </c>
      <c r="F14" s="7">
        <f>'10-CWIP'!K274</f>
        <v>0</v>
      </c>
      <c r="G14" s="46" t="str">
        <f>"10-CWIP, Lines "&amp;'10-CWIP'!A45&amp;", "&amp;'10-CWIP'!A46&amp;", "&amp;'10-CWIP'!A274&amp;""</f>
        <v>10-CWIP, Lines 27, 28, 210</v>
      </c>
    </row>
    <row r="15" spans="1:9" ht="13">
      <c r="A15" s="2">
        <f t="shared" si="0"/>
        <v>7</v>
      </c>
      <c r="C15" s="92" t="s">
        <v>1254</v>
      </c>
      <c r="D15" s="7">
        <f>'10-CWIP'!E45</f>
        <v>301246.76</v>
      </c>
      <c r="E15" s="7">
        <f>'10-CWIP'!E46</f>
        <v>88742.059230769228</v>
      </c>
      <c r="F15" s="7">
        <f>'10-CWIP'!K305</f>
        <v>4760153.9834615383</v>
      </c>
      <c r="G15" s="46" t="str">
        <f>"10-CWIP, Lines "&amp;'10-CWIP'!A45&amp;", "&amp;'10-CWIP'!A46&amp;", "&amp;'10-CWIP'!A305&amp;""</f>
        <v>10-CWIP, Lines 27, 28, 236</v>
      </c>
    </row>
    <row r="16" spans="1:9" ht="13">
      <c r="A16" s="2">
        <f t="shared" si="0"/>
        <v>8</v>
      </c>
      <c r="C16" s="918" t="s">
        <v>2464</v>
      </c>
      <c r="D16" s="63">
        <f>'10-CWIP'!F45</f>
        <v>49854942.909999996</v>
      </c>
      <c r="E16" s="63">
        <f>'10-CWIP'!F46</f>
        <v>144167446.39643878</v>
      </c>
      <c r="F16" s="7">
        <f>'10-CWIP'!K338</f>
        <v>50282477.689230785</v>
      </c>
      <c r="G16" s="46" t="str">
        <f>"10-CWIP, Lines "&amp;'10-CWIP'!A45&amp;", "&amp;'10-CWIP'!A46&amp;", "&amp;'10-CWIP'!A338&amp;""</f>
        <v>10-CWIP, Lines 27, 28, 262</v>
      </c>
    </row>
    <row r="17" spans="1:7" ht="13">
      <c r="A17" s="2">
        <f t="shared" si="0"/>
        <v>9</v>
      </c>
      <c r="C17" s="918" t="s">
        <v>2465</v>
      </c>
      <c r="D17" s="63">
        <f>'10-CWIP'!G45</f>
        <v>22001340.420866624</v>
      </c>
      <c r="E17" s="63">
        <f>'10-CWIP'!G46</f>
        <v>21080305.460128166</v>
      </c>
      <c r="F17" s="7">
        <f>'10-CWIP'!K369</f>
        <v>831534.66580000147</v>
      </c>
      <c r="G17" s="46" t="str">
        <f>"10-CWIP, Lines "&amp;'10-CWIP'!A45&amp;", "&amp;'10-CWIP'!A46&amp;", "&amp;'10-CWIP'!A369&amp;""</f>
        <v>10-CWIP, Lines 27, 28, 288</v>
      </c>
    </row>
    <row r="18" spans="1:7" ht="13">
      <c r="A18" s="2">
        <f t="shared" si="0"/>
        <v>10</v>
      </c>
      <c r="C18" s="918" t="s">
        <v>2466</v>
      </c>
      <c r="D18" s="948">
        <f>'10-CWIP'!H45</f>
        <v>101741830.36564952</v>
      </c>
      <c r="E18" s="948">
        <f>'10-CWIP'!H46</f>
        <v>75625383.694111049</v>
      </c>
      <c r="F18" s="393">
        <f>'10-CWIP'!K402</f>
        <v>-8452843.9330769163</v>
      </c>
      <c r="G18" s="46" t="str">
        <f>"10-CWIP, Lines "&amp;'10-CWIP'!A45&amp;", "&amp;'10-CWIP'!A46&amp;", "&amp;'10-CWIP'!A402&amp;""</f>
        <v>10-CWIP, Lines 27, 28, 314</v>
      </c>
    </row>
    <row r="19" spans="1:7" ht="13">
      <c r="A19" s="2">
        <f t="shared" si="0"/>
        <v>11</v>
      </c>
      <c r="C19" s="408"/>
      <c r="D19" s="364">
        <f>'10-CWIP'!I45</f>
        <v>0</v>
      </c>
      <c r="E19" s="364" t="str">
        <f>'10-CWIP'!I46</f>
        <v>---</v>
      </c>
      <c r="F19" s="58">
        <f>'10-CWIP'!K427</f>
        <v>0</v>
      </c>
      <c r="G19" s="46" t="str">
        <f>"10-CWIP, Lines "&amp;'10-CWIP'!A45&amp;", "&amp;'10-CWIP'!A46&amp;", 340"</f>
        <v>10-CWIP, Lines 27, 28, 340</v>
      </c>
    </row>
    <row r="20" spans="1:7" ht="13">
      <c r="A20" s="2">
        <f t="shared" si="0"/>
        <v>12</v>
      </c>
      <c r="C20" s="92" t="s">
        <v>197</v>
      </c>
      <c r="D20" s="63">
        <f>SUM(D9:D19)</f>
        <v>647763205.16651607</v>
      </c>
      <c r="E20" s="63">
        <f>SUM(E9:E19)</f>
        <v>602185189.09144735</v>
      </c>
      <c r="F20" s="7">
        <f>SUM(F9:F19)</f>
        <v>-371898027.79150784</v>
      </c>
      <c r="G20" s="13" t="str">
        <f>"Sum of Lines "&amp;A9&amp;" to "&amp;A19&amp;""</f>
        <v>Sum of Lines 1 to 11</v>
      </c>
    </row>
    <row r="21" spans="1:7" ht="13">
      <c r="A21" s="2"/>
      <c r="C21" s="1"/>
      <c r="D21" s="14"/>
      <c r="E21" s="14"/>
    </row>
    <row r="22" spans="1:7" ht="14.5">
      <c r="A22" s="2"/>
      <c r="C22" s="1" t="s">
        <v>1249</v>
      </c>
      <c r="D22" s="241" t="s">
        <v>300</v>
      </c>
      <c r="E22" s="241" t="s">
        <v>229</v>
      </c>
      <c r="F22" s="13"/>
    </row>
    <row r="23" spans="1:7" ht="13">
      <c r="D23" s="3" t="s">
        <v>175</v>
      </c>
      <c r="E23" s="3" t="s">
        <v>175</v>
      </c>
      <c r="F23" s="3" t="s">
        <v>179</v>
      </c>
    </row>
    <row r="24" spans="1:7" ht="13">
      <c r="A24" s="2">
        <f>A20+1</f>
        <v>13</v>
      </c>
      <c r="C24" s="92" t="s">
        <v>1389</v>
      </c>
      <c r="D24" s="63">
        <f>D20</f>
        <v>647763205.16651607</v>
      </c>
      <c r="E24" s="63">
        <f>E20</f>
        <v>602185189.09144735</v>
      </c>
      <c r="F24" s="16" t="str">
        <f>"Line "&amp;A20&amp;""</f>
        <v>Line 12</v>
      </c>
    </row>
    <row r="25" spans="1:7" ht="13">
      <c r="A25" s="2">
        <f>A24+1</f>
        <v>14</v>
      </c>
      <c r="C25" s="92" t="s">
        <v>1238</v>
      </c>
      <c r="D25" s="67">
        <f>'1-BaseTRR'!K91</f>
        <v>7.628516706097524E-2</v>
      </c>
      <c r="E25" s="67">
        <f>'1-BaseTRR'!K91</f>
        <v>7.628516706097524E-2</v>
      </c>
      <c r="F25" s="112" t="str">
        <f>"1-BaseTRR, Line "&amp;'1-BaseTRR'!A91&amp;""</f>
        <v>1-BaseTRR, Line 54</v>
      </c>
    </row>
    <row r="26" spans="1:7" ht="13">
      <c r="A26" s="2">
        <f>A25+1</f>
        <v>15</v>
      </c>
      <c r="C26" s="37" t="s">
        <v>1390</v>
      </c>
      <c r="D26" s="63">
        <f>D24*D25</f>
        <v>49414724.322080456</v>
      </c>
      <c r="E26" s="63">
        <f>E24*E25</f>
        <v>45937797.751486026</v>
      </c>
      <c r="F26" s="112" t="str">
        <f>"Line "&amp;A24&amp;" * Line "&amp;A25&amp;""</f>
        <v>Line 13 * Line 14</v>
      </c>
    </row>
    <row r="27" spans="1:7">
      <c r="D27" s="14"/>
      <c r="E27" s="14"/>
      <c r="F27" s="14"/>
    </row>
    <row r="28" spans="1:7" ht="13">
      <c r="C28" s="1" t="s">
        <v>86</v>
      </c>
      <c r="D28" s="14"/>
      <c r="E28" s="14"/>
      <c r="F28" s="14"/>
    </row>
    <row r="29" spans="1:7" ht="14.5">
      <c r="D29" s="986" t="s">
        <v>300</v>
      </c>
      <c r="E29" s="986" t="s">
        <v>229</v>
      </c>
      <c r="F29" s="14"/>
    </row>
    <row r="30" spans="1:7" ht="13">
      <c r="D30" s="123" t="s">
        <v>175</v>
      </c>
      <c r="E30" s="123" t="s">
        <v>175</v>
      </c>
      <c r="F30" s="123" t="s">
        <v>179</v>
      </c>
    </row>
    <row r="31" spans="1:7" ht="14.5">
      <c r="A31" s="241">
        <f>A26+1</f>
        <v>16</v>
      </c>
      <c r="C31" s="92" t="s">
        <v>1389</v>
      </c>
      <c r="D31" s="63">
        <f>D20</f>
        <v>647763205.16651607</v>
      </c>
      <c r="E31" s="63">
        <f>E20</f>
        <v>602185189.09144735</v>
      </c>
      <c r="F31" s="112" t="str">
        <f>"Line "&amp;A20&amp;""</f>
        <v>Line 12</v>
      </c>
    </row>
    <row r="32" spans="1:7" ht="13">
      <c r="A32" s="2">
        <f t="shared" ref="A32:A38" si="1">A31+1</f>
        <v>17</v>
      </c>
      <c r="C32" s="363" t="s">
        <v>1391</v>
      </c>
      <c r="D32" s="67">
        <f>'1-BaseTRR'!K93</f>
        <v>5.4481252772996126E-2</v>
      </c>
      <c r="E32" s="67">
        <f>'1-BaseTRR'!K93</f>
        <v>5.4481252772996126E-2</v>
      </c>
      <c r="F32" s="112" t="str">
        <f>"1-BaseTRR, Line "&amp;'1-BaseTRR'!A93&amp;""</f>
        <v>1-BaseTRR, Line 55</v>
      </c>
    </row>
    <row r="33" spans="1:7" ht="13">
      <c r="A33" s="2">
        <f t="shared" si="1"/>
        <v>18</v>
      </c>
      <c r="C33" s="363" t="s">
        <v>1046</v>
      </c>
      <c r="D33" s="67">
        <f>'1-BaseTRR'!K102</f>
        <v>0.27983599999999997</v>
      </c>
      <c r="E33" s="67">
        <f>'1-BaseTRR'!K102</f>
        <v>0.27983599999999997</v>
      </c>
      <c r="F33" s="112" t="str">
        <f>"1-BaseTRR, Line "&amp;'1-BaseTRR'!A102&amp;""</f>
        <v>1-BaseTRR, Line 59</v>
      </c>
    </row>
    <row r="34" spans="1:7" ht="13">
      <c r="A34" s="2">
        <f t="shared" si="1"/>
        <v>19</v>
      </c>
      <c r="C34" s="363" t="s">
        <v>262</v>
      </c>
      <c r="D34" s="63">
        <f>((D24*D32)*(D33/(1-D33)))</f>
        <v>13713096.657166928</v>
      </c>
      <c r="E34" s="63">
        <f>((E24*E32)*(E33/(1-E33)))</f>
        <v>12748213.602843616</v>
      </c>
      <c r="F34" s="475" t="str">
        <f>"Formula on Line "&amp;A36&amp;""</f>
        <v>Formula on Line 21</v>
      </c>
      <c r="G34" s="14"/>
    </row>
    <row r="35" spans="1:7" ht="13">
      <c r="A35" s="2">
        <f t="shared" si="1"/>
        <v>20</v>
      </c>
      <c r="C35" s="14"/>
      <c r="D35" s="14"/>
      <c r="E35" s="14"/>
      <c r="F35" s="14"/>
      <c r="G35" s="14"/>
    </row>
    <row r="36" spans="1:7" ht="13">
      <c r="A36" s="2">
        <f t="shared" si="1"/>
        <v>21</v>
      </c>
      <c r="C36" s="46" t="str">
        <f>"Income Taxes = [(RB * ER) * (CTR/(1 – CTR)], or [(L"&amp;A24&amp;" * L"&amp;A32&amp;") * (L"&amp;A33&amp;" / (1 - L"&amp;A33&amp;")]"</f>
        <v>Income Taxes = [(RB * ER) * (CTR/(1 – CTR)], or [(L13 * L17) * (L18 / (1 - L18)]</v>
      </c>
      <c r="D36" s="14"/>
      <c r="E36" s="63"/>
      <c r="F36" s="15"/>
      <c r="G36" s="14"/>
    </row>
    <row r="37" spans="1:7" ht="13">
      <c r="A37" s="2">
        <f t="shared" si="1"/>
        <v>22</v>
      </c>
      <c r="C37" s="475" t="s">
        <v>1772</v>
      </c>
      <c r="D37" s="14"/>
      <c r="E37" s="63"/>
      <c r="F37" s="15"/>
      <c r="G37" s="14"/>
    </row>
    <row r="38" spans="1:7" ht="13">
      <c r="A38" s="2">
        <f t="shared" si="1"/>
        <v>23</v>
      </c>
      <c r="D38" s="46"/>
      <c r="E38" s="63"/>
      <c r="F38" s="12"/>
      <c r="G38" s="13"/>
    </row>
    <row r="39" spans="1:7" ht="13">
      <c r="C39" s="1" t="s">
        <v>1246</v>
      </c>
      <c r="D39" s="14"/>
      <c r="E39" s="14"/>
    </row>
    <row r="40" spans="1:7" ht="13">
      <c r="D40" s="123" t="s">
        <v>171</v>
      </c>
      <c r="E40" s="123" t="s">
        <v>179</v>
      </c>
    </row>
    <row r="41" spans="1:7" ht="13">
      <c r="A41" s="2">
        <f>A38+1</f>
        <v>24</v>
      </c>
      <c r="C41" s="363" t="s">
        <v>491</v>
      </c>
      <c r="D41" s="63">
        <f>'15-IncentiveAdder'!G17</f>
        <v>6237.528775852611</v>
      </c>
      <c r="E41" s="112" t="str">
        <f>"15-IncentiveAdder, Line "&amp;'15-IncentiveAdder'!A17&amp;""</f>
        <v>15-IncentiveAdder, Line 3</v>
      </c>
      <c r="F41" s="14"/>
      <c r="G41" s="14"/>
    </row>
    <row r="42" spans="1:7">
      <c r="C42" s="14"/>
      <c r="D42" s="14"/>
      <c r="E42" s="14"/>
      <c r="F42" s="14"/>
      <c r="G42" s="14"/>
    </row>
    <row r="43" spans="1:7" ht="13">
      <c r="C43" s="985" t="s">
        <v>337</v>
      </c>
      <c r="D43" s="14"/>
      <c r="E43" s="14"/>
      <c r="F43" s="14"/>
      <c r="G43" s="14"/>
    </row>
    <row r="44" spans="1:7" ht="14.5">
      <c r="C44" s="14"/>
      <c r="D44" s="986" t="s">
        <v>300</v>
      </c>
      <c r="E44" s="986" t="s">
        <v>229</v>
      </c>
      <c r="F44" s="14"/>
      <c r="G44" s="14"/>
    </row>
    <row r="45" spans="1:7" ht="13">
      <c r="C45" s="14"/>
      <c r="D45" s="123" t="s">
        <v>175</v>
      </c>
      <c r="E45" s="123" t="s">
        <v>175</v>
      </c>
      <c r="F45" s="14"/>
      <c r="G45" s="14"/>
    </row>
    <row r="46" spans="1:7" ht="13">
      <c r="A46" s="2">
        <f>A41+1</f>
        <v>25</v>
      </c>
      <c r="C46" s="363" t="s">
        <v>1392</v>
      </c>
      <c r="D46" s="63">
        <f>D9</f>
        <v>157682.99</v>
      </c>
      <c r="E46" s="63">
        <f>E9</f>
        <v>156779.51307692306</v>
      </c>
      <c r="F46" s="112" t="str">
        <f>"Line "&amp;A9&amp;""</f>
        <v>Line 1</v>
      </c>
      <c r="G46" s="14"/>
    </row>
    <row r="47" spans="1:7" ht="13">
      <c r="A47" s="2">
        <f>A46+1</f>
        <v>26</v>
      </c>
      <c r="C47" s="363" t="s">
        <v>1240</v>
      </c>
      <c r="D47" s="78">
        <f>'15-IncentiveAdder'!E26</f>
        <v>1.2500000000000001E-2</v>
      </c>
      <c r="E47" s="78">
        <f>'15-IncentiveAdder'!E26</f>
        <v>1.2500000000000001E-2</v>
      </c>
      <c r="F47" s="112" t="str">
        <f>"15-IncentiveAdder, Line "&amp;'15-IncentiveAdder'!A26&amp;""</f>
        <v>15-IncentiveAdder, Line 5</v>
      </c>
      <c r="G47" s="14"/>
    </row>
    <row r="48" spans="1:7" ht="13">
      <c r="A48" s="2">
        <f>A47+1</f>
        <v>27</v>
      </c>
      <c r="C48" s="363" t="s">
        <v>1393</v>
      </c>
      <c r="D48" s="63">
        <f>(D46/1000000)*($D$41*(D47/0.01))</f>
        <v>1229.4402344843493</v>
      </c>
      <c r="E48" s="63">
        <f>(E46/1000000)*($D$41*(E47/0.01))</f>
        <v>1222.3959053518354</v>
      </c>
      <c r="F48" s="475" t="str">
        <f>"Formula on Line "&amp;A57&amp;""</f>
        <v>Formula on Line 32</v>
      </c>
      <c r="G48" s="14"/>
    </row>
    <row r="49" spans="1:7">
      <c r="C49" s="375"/>
      <c r="D49" s="14"/>
      <c r="E49" s="14"/>
      <c r="F49" s="14"/>
      <c r="G49" s="14"/>
    </row>
    <row r="50" spans="1:7" ht="13">
      <c r="C50" s="985" t="s">
        <v>1247</v>
      </c>
      <c r="D50" s="14"/>
      <c r="E50" s="123"/>
      <c r="F50" s="123"/>
      <c r="G50" s="14"/>
    </row>
    <row r="51" spans="1:7" ht="14.5">
      <c r="C51" s="14"/>
      <c r="D51" s="986" t="s">
        <v>300</v>
      </c>
      <c r="E51" s="986" t="s">
        <v>229</v>
      </c>
      <c r="F51" s="14"/>
      <c r="G51" s="14"/>
    </row>
    <row r="52" spans="1:7" ht="13">
      <c r="C52" s="14"/>
      <c r="D52" s="123" t="s">
        <v>175</v>
      </c>
      <c r="E52" s="123" t="s">
        <v>175</v>
      </c>
      <c r="F52" s="14"/>
      <c r="G52" s="14"/>
    </row>
    <row r="53" spans="1:7" ht="13">
      <c r="A53" s="2">
        <f>A48+1</f>
        <v>28</v>
      </c>
      <c r="C53" s="918" t="s">
        <v>1414</v>
      </c>
      <c r="D53" s="63">
        <f>D10</f>
        <v>0</v>
      </c>
      <c r="E53" s="63">
        <f>E10</f>
        <v>0</v>
      </c>
      <c r="F53" s="112" t="str">
        <f>"Line "&amp;A10&amp;""</f>
        <v>Line 2</v>
      </c>
      <c r="G53" s="14"/>
    </row>
    <row r="54" spans="1:7" ht="13">
      <c r="A54" s="2">
        <f>A53+1</f>
        <v>29</v>
      </c>
      <c r="C54" s="363" t="s">
        <v>1240</v>
      </c>
      <c r="D54" s="78">
        <f>'15-IncentiveAdder'!E27</f>
        <v>0.01</v>
      </c>
      <c r="E54" s="78">
        <f>'15-IncentiveAdder'!E27</f>
        <v>0.01</v>
      </c>
      <c r="F54" s="112" t="str">
        <f>"15-IncentiveAdder, Line "&amp;'15-IncentiveAdder'!A27&amp;""</f>
        <v>15-IncentiveAdder, Line 6</v>
      </c>
      <c r="G54" s="14"/>
    </row>
    <row r="55" spans="1:7" ht="13">
      <c r="A55" s="2">
        <f>A54+1</f>
        <v>30</v>
      </c>
      <c r="C55" s="363" t="s">
        <v>1393</v>
      </c>
      <c r="D55" s="63">
        <f>(D53/1000000)*($D$41*(D54/0.01))</f>
        <v>0</v>
      </c>
      <c r="E55" s="63">
        <f>(E53/1000000)*($D$41*(E54/0.01))</f>
        <v>0</v>
      </c>
      <c r="F55" s="475" t="str">
        <f>"Formula on Line "&amp;A57&amp;""</f>
        <v>Formula on Line 32</v>
      </c>
      <c r="G55" s="14"/>
    </row>
    <row r="56" spans="1:7" ht="13">
      <c r="A56" s="2">
        <f>A55+1</f>
        <v>31</v>
      </c>
      <c r="C56" s="14"/>
      <c r="D56" s="108"/>
      <c r="E56" s="63"/>
      <c r="F56" s="46"/>
      <c r="G56" s="14"/>
    </row>
    <row r="57" spans="1:7" ht="13">
      <c r="A57" s="2">
        <f>A56+1</f>
        <v>32</v>
      </c>
      <c r="C57" s="917" t="s">
        <v>1847</v>
      </c>
      <c r="D57" s="63"/>
      <c r="E57" s="46"/>
      <c r="F57" s="14"/>
      <c r="G57" s="14"/>
    </row>
    <row r="59" spans="1:7" ht="13">
      <c r="C59" s="1" t="s">
        <v>1500</v>
      </c>
    </row>
    <row r="60" spans="1:7" ht="13">
      <c r="C60" s="1"/>
    </row>
    <row r="61" spans="1:7" ht="14.5">
      <c r="C61" s="1"/>
      <c r="E61" s="241" t="s">
        <v>279</v>
      </c>
    </row>
    <row r="62" spans="1:7" ht="14.5">
      <c r="C62" s="1"/>
      <c r="D62" s="241" t="s">
        <v>1395</v>
      </c>
      <c r="E62" s="241" t="s">
        <v>960</v>
      </c>
    </row>
    <row r="63" spans="1:7" ht="13">
      <c r="D63" s="3" t="s">
        <v>175</v>
      </c>
      <c r="E63" s="3" t="s">
        <v>175</v>
      </c>
      <c r="F63" s="3" t="s">
        <v>179</v>
      </c>
    </row>
    <row r="64" spans="1:7" ht="13">
      <c r="A64" s="2">
        <f>A57+1</f>
        <v>33</v>
      </c>
      <c r="C64" s="92" t="s">
        <v>1239</v>
      </c>
      <c r="D64" s="63">
        <f>D26</f>
        <v>49414724.322080456</v>
      </c>
      <c r="E64" s="63">
        <f>E26</f>
        <v>45937797.751486026</v>
      </c>
      <c r="F64" s="16" t="str">
        <f>"Line "&amp;A26&amp;""</f>
        <v>Line 15</v>
      </c>
    </row>
    <row r="65" spans="1:9" ht="13">
      <c r="A65" s="2">
        <f>A64+1</f>
        <v>34</v>
      </c>
      <c r="C65" s="92" t="s">
        <v>262</v>
      </c>
      <c r="D65" s="63">
        <f>D34</f>
        <v>13713096.657166928</v>
      </c>
      <c r="E65" s="63">
        <f>E34</f>
        <v>12748213.602843616</v>
      </c>
      <c r="F65" s="16" t="str">
        <f>"Line "&amp;A34&amp;""</f>
        <v>Line 19</v>
      </c>
    </row>
    <row r="66" spans="1:9" ht="13">
      <c r="A66" s="2">
        <f>A65+1</f>
        <v>35</v>
      </c>
      <c r="C66" s="92" t="s">
        <v>1241</v>
      </c>
      <c r="D66" s="63">
        <f>D48</f>
        <v>1229.4402344843493</v>
      </c>
      <c r="E66" s="63">
        <f>E48</f>
        <v>1222.3959053518354</v>
      </c>
      <c r="F66" s="16" t="str">
        <f>"Line "&amp;A48&amp;""</f>
        <v>Line 27</v>
      </c>
    </row>
    <row r="67" spans="1:9" ht="13">
      <c r="A67" s="2">
        <f>A66+1</f>
        <v>36</v>
      </c>
      <c r="C67" s="92" t="s">
        <v>1242</v>
      </c>
      <c r="D67" s="47">
        <f>D55</f>
        <v>0</v>
      </c>
      <c r="E67" s="234">
        <f>E55</f>
        <v>0</v>
      </c>
      <c r="F67" s="16" t="str">
        <f>"Line "&amp;A55&amp;""</f>
        <v>Line 30</v>
      </c>
    </row>
    <row r="68" spans="1:9" ht="13">
      <c r="A68" s="469">
        <f>A67+1</f>
        <v>37</v>
      </c>
      <c r="C68" s="92" t="s">
        <v>1441</v>
      </c>
      <c r="D68" s="110">
        <f>SUM(D64:D67)*('28-FFU'!D22+'28-FFU'!E22)</f>
        <v>718540.24648328207</v>
      </c>
      <c r="E68" s="110">
        <f>SUM(E64:E67)*('28-FFU'!D22)</f>
        <v>542744.10759906878</v>
      </c>
      <c r="F68" s="13" t="s">
        <v>360</v>
      </c>
    </row>
    <row r="69" spans="1:9" ht="13">
      <c r="A69" s="469">
        <f>A68+1</f>
        <v>38</v>
      </c>
      <c r="C69" s="92" t="s">
        <v>4</v>
      </c>
      <c r="D69" s="63">
        <f>SUM(D64:D68)</f>
        <v>63847590.665965147</v>
      </c>
      <c r="E69" s="63">
        <f>SUM(E64:E68)</f>
        <v>59229977.857834071</v>
      </c>
      <c r="F69" s="13" t="str">
        <f>"Sum Lines "&amp;A64&amp;" to "&amp;A68&amp;""</f>
        <v>Sum Lines 33 to 37</v>
      </c>
    </row>
    <row r="70" spans="1:9" ht="13">
      <c r="A70" s="2"/>
      <c r="D70" s="92"/>
      <c r="E70" s="7"/>
      <c r="F70" s="13"/>
    </row>
    <row r="71" spans="1:9" ht="12.75" customHeight="1">
      <c r="A71" s="2"/>
      <c r="C71" s="369" t="s">
        <v>1501</v>
      </c>
      <c r="D71" s="92"/>
      <c r="E71" s="7"/>
      <c r="F71" s="13"/>
    </row>
    <row r="72" spans="1:9" ht="13">
      <c r="A72" s="2"/>
      <c r="D72" s="92"/>
      <c r="E72" s="7"/>
      <c r="F72" s="13"/>
    </row>
    <row r="73" spans="1:9" ht="12.75" customHeight="1">
      <c r="A73" s="2"/>
      <c r="C73" s="369" t="s">
        <v>1396</v>
      </c>
      <c r="D73" s="92"/>
      <c r="E73" s="7"/>
      <c r="F73" s="13"/>
    </row>
    <row r="74" spans="1:9" ht="14.5">
      <c r="A74" s="2"/>
      <c r="C74" s="369"/>
      <c r="D74" s="84" t="s">
        <v>359</v>
      </c>
      <c r="E74" s="84" t="s">
        <v>343</v>
      </c>
      <c r="F74" s="84" t="s">
        <v>344</v>
      </c>
      <c r="G74" s="84" t="s">
        <v>345</v>
      </c>
      <c r="H74" s="84" t="s">
        <v>346</v>
      </c>
    </row>
    <row r="75" spans="1:9" ht="14.5">
      <c r="A75" s="2"/>
      <c r="C75" s="369"/>
      <c r="D75" s="2" t="s">
        <v>1397</v>
      </c>
      <c r="E75" s="465" t="s">
        <v>1398</v>
      </c>
      <c r="F75" s="2"/>
      <c r="H75" s="94" t="s">
        <v>1447</v>
      </c>
    </row>
    <row r="76" spans="1:9" ht="14.5">
      <c r="A76" s="2"/>
      <c r="C76" s="3" t="s">
        <v>224</v>
      </c>
      <c r="D76" s="3" t="s">
        <v>1399</v>
      </c>
      <c r="E76" s="400" t="s">
        <v>1400</v>
      </c>
      <c r="F76" s="3" t="s">
        <v>9</v>
      </c>
      <c r="G76" s="3" t="s">
        <v>1404</v>
      </c>
      <c r="H76" s="3" t="s">
        <v>196</v>
      </c>
      <c r="I76" s="3" t="s">
        <v>179</v>
      </c>
    </row>
    <row r="77" spans="1:9" ht="13">
      <c r="A77" s="2">
        <f>A69+1</f>
        <v>39</v>
      </c>
      <c r="C77" s="92" t="s">
        <v>1250</v>
      </c>
      <c r="D77" s="1226">
        <f t="shared" ref="D77:D86" si="2">$D$26*(D9/$D$20)</f>
        <v>12028.873234824086</v>
      </c>
      <c r="E77" s="1226">
        <f t="shared" ref="E77:E86" si="3">$D$34*(D9/$D$20)</f>
        <v>3338.1366305071815</v>
      </c>
      <c r="F77" s="1226">
        <f>D48</f>
        <v>1229.4402344843493</v>
      </c>
      <c r="G77" s="63">
        <f>(D77+E77+F77)*('28-FFU'!$D$22+'28-FFU'!$E$22)</f>
        <v>188.90221326359179</v>
      </c>
      <c r="H77" s="471">
        <f>SUM(D77:G77)</f>
        <v>16785.352313079205</v>
      </c>
      <c r="I77" s="13" t="s">
        <v>361</v>
      </c>
    </row>
    <row r="78" spans="1:9" ht="13">
      <c r="A78" s="2">
        <f t="shared" ref="A78:A88" si="4">A77+1</f>
        <v>40</v>
      </c>
      <c r="C78" s="92" t="s">
        <v>1251</v>
      </c>
      <c r="D78" s="1226">
        <f t="shared" si="2"/>
        <v>0</v>
      </c>
      <c r="E78" s="1226">
        <f t="shared" si="3"/>
        <v>0</v>
      </c>
      <c r="F78" s="1226">
        <f>D55</f>
        <v>0</v>
      </c>
      <c r="G78" s="63">
        <f>(D78+E78+F78)*('28-FFU'!$D$22+'28-FFU'!$E$22)</f>
        <v>0</v>
      </c>
      <c r="H78" s="471">
        <f t="shared" ref="H78:H86" si="5">SUM(D78:G78)</f>
        <v>0</v>
      </c>
      <c r="I78" s="13" t="s">
        <v>361</v>
      </c>
    </row>
    <row r="79" spans="1:9" ht="13">
      <c r="A79" s="2">
        <f t="shared" si="4"/>
        <v>41</v>
      </c>
      <c r="C79" s="474" t="s">
        <v>1255</v>
      </c>
      <c r="D79" s="1226">
        <f t="shared" si="2"/>
        <v>425991.55666813755</v>
      </c>
      <c r="E79" s="1226">
        <f t="shared" si="3"/>
        <v>118217.05922412455</v>
      </c>
      <c r="F79" s="1226">
        <v>0</v>
      </c>
      <c r="G79" s="63">
        <f>(D79+E79+F79)*('28-FFU'!$D$22+'28-FFU'!$E$22)</f>
        <v>6194.2289707065929</v>
      </c>
      <c r="H79" s="471">
        <f t="shared" si="5"/>
        <v>550402.84486296866</v>
      </c>
      <c r="I79" s="13" t="s">
        <v>361</v>
      </c>
    </row>
    <row r="80" spans="1:9" ht="13">
      <c r="A80" s="2">
        <f t="shared" si="4"/>
        <v>42</v>
      </c>
      <c r="C80" s="474" t="s">
        <v>1256</v>
      </c>
      <c r="D80" s="1226">
        <f t="shared" si="2"/>
        <v>35710762.127955414</v>
      </c>
      <c r="E80" s="1226">
        <f t="shared" si="3"/>
        <v>9910105.5298800692</v>
      </c>
      <c r="F80" s="1226">
        <v>0</v>
      </c>
      <c r="G80" s="63">
        <f>(D80+E80+F80)*('28-FFU'!$D$22+'28-FFU'!$E$22)</f>
        <v>519260.6141518348</v>
      </c>
      <c r="H80" s="471">
        <f t="shared" si="5"/>
        <v>46140128.271987319</v>
      </c>
      <c r="I80" s="13" t="s">
        <v>361</v>
      </c>
    </row>
    <row r="81" spans="1:9" ht="13">
      <c r="A81" s="2">
        <f t="shared" si="4"/>
        <v>43</v>
      </c>
      <c r="C81" s="92" t="s">
        <v>1252</v>
      </c>
      <c r="D81" s="1226">
        <f t="shared" si="2"/>
        <v>0</v>
      </c>
      <c r="E81" s="1226">
        <f t="shared" si="3"/>
        <v>0</v>
      </c>
      <c r="F81" s="1226">
        <v>0</v>
      </c>
      <c r="G81" s="63">
        <f>(D81+E81+F81)*('28-FFU'!$D$22+'28-FFU'!$E$22)</f>
        <v>0</v>
      </c>
      <c r="H81" s="471">
        <f t="shared" si="5"/>
        <v>0</v>
      </c>
      <c r="I81" s="13" t="s">
        <v>361</v>
      </c>
    </row>
    <row r="82" spans="1:9" ht="13">
      <c r="A82" s="2">
        <f t="shared" si="4"/>
        <v>44</v>
      </c>
      <c r="C82" s="92" t="s">
        <v>1253</v>
      </c>
      <c r="D82" s="1226">
        <f t="shared" si="2"/>
        <v>0</v>
      </c>
      <c r="E82" s="1226">
        <f t="shared" si="3"/>
        <v>0</v>
      </c>
      <c r="F82" s="1226">
        <v>0</v>
      </c>
      <c r="G82" s="63">
        <f>(D82+E82+F82)*('28-FFU'!$D$22+'28-FFU'!$E$22)</f>
        <v>0</v>
      </c>
      <c r="H82" s="471">
        <f t="shared" si="5"/>
        <v>0</v>
      </c>
      <c r="I82" s="13" t="s">
        <v>361</v>
      </c>
    </row>
    <row r="83" spans="1:9" ht="13">
      <c r="A83" s="2">
        <f t="shared" si="4"/>
        <v>45</v>
      </c>
      <c r="C83" s="92" t="s">
        <v>1254</v>
      </c>
      <c r="D83" s="1226">
        <f t="shared" si="2"/>
        <v>22980.659413177513</v>
      </c>
      <c r="E83" s="1226">
        <f t="shared" si="3"/>
        <v>6377.3704720947117</v>
      </c>
      <c r="F83" s="1226">
        <v>0</v>
      </c>
      <c r="G83" s="63">
        <f>(D83+E83+F83)*('28-FFU'!$D$22+'28-FFU'!$E$22)</f>
        <v>334.15560490542543</v>
      </c>
      <c r="H83" s="471">
        <f t="shared" si="5"/>
        <v>29692.185490177653</v>
      </c>
      <c r="I83" s="13" t="s">
        <v>361</v>
      </c>
    </row>
    <row r="84" spans="1:9" ht="13">
      <c r="A84" s="2">
        <f t="shared" si="4"/>
        <v>46</v>
      </c>
      <c r="C84" s="918" t="s">
        <v>2450</v>
      </c>
      <c r="D84" s="1226">
        <f t="shared" si="2"/>
        <v>3803192.6487047323</v>
      </c>
      <c r="E84" s="1226">
        <f t="shared" si="3"/>
        <v>1055425.2626723738</v>
      </c>
      <c r="F84" s="1226">
        <v>0</v>
      </c>
      <c r="G84" s="63">
        <f>(D84+E84+F84)*('28-FFU'!$D$22+'28-FFU'!$E$22)</f>
        <v>55301.204254002594</v>
      </c>
      <c r="H84" s="471">
        <f t="shared" si="5"/>
        <v>4913919.1156311082</v>
      </c>
      <c r="I84" s="13" t="s">
        <v>361</v>
      </c>
    </row>
    <row r="85" spans="1:9" ht="13">
      <c r="A85" s="2">
        <f t="shared" si="4"/>
        <v>47</v>
      </c>
      <c r="C85" s="918" t="s">
        <v>2451</v>
      </c>
      <c r="D85" s="1226">
        <f t="shared" si="2"/>
        <v>1678375.9295711976</v>
      </c>
      <c r="E85" s="1226">
        <f t="shared" si="3"/>
        <v>465766.66499762062</v>
      </c>
      <c r="F85" s="1226">
        <v>0</v>
      </c>
      <c r="G85" s="63">
        <f>(D85+E85+F85)*('28-FFU'!$D$22+'28-FFU'!$E$22)</f>
        <v>24404.814236225724</v>
      </c>
      <c r="H85" s="471">
        <f t="shared" si="5"/>
        <v>2168547.4088050439</v>
      </c>
      <c r="I85" s="13" t="s">
        <v>361</v>
      </c>
    </row>
    <row r="86" spans="1:9" ht="13">
      <c r="A86" s="2">
        <f t="shared" si="4"/>
        <v>48</v>
      </c>
      <c r="C86" s="918" t="s">
        <v>2455</v>
      </c>
      <c r="D86" s="1226">
        <f t="shared" si="2"/>
        <v>7761392.5265329769</v>
      </c>
      <c r="E86" s="1226">
        <f t="shared" si="3"/>
        <v>2153866.6332901381</v>
      </c>
      <c r="F86" s="1226">
        <v>0</v>
      </c>
      <c r="G86" s="63">
        <f>(D86+E86+F86)*('28-FFU'!$D$22+'28-FFU'!$E$22)</f>
        <v>112856.3270523434</v>
      </c>
      <c r="H86" s="471">
        <f t="shared" si="5"/>
        <v>10028115.48687546</v>
      </c>
      <c r="I86" s="13" t="s">
        <v>361</v>
      </c>
    </row>
    <row r="87" spans="1:9" ht="13">
      <c r="A87" s="2">
        <f t="shared" si="4"/>
        <v>49</v>
      </c>
      <c r="C87" s="408"/>
      <c r="D87" s="1380" t="s">
        <v>76</v>
      </c>
      <c r="E87" s="1380" t="s">
        <v>76</v>
      </c>
      <c r="F87" s="1380" t="s">
        <v>76</v>
      </c>
      <c r="G87" s="1380" t="s">
        <v>76</v>
      </c>
      <c r="H87" s="1380" t="s">
        <v>76</v>
      </c>
      <c r="I87" s="13" t="s">
        <v>361</v>
      </c>
    </row>
    <row r="88" spans="1:9" ht="13">
      <c r="A88" s="2">
        <f t="shared" si="4"/>
        <v>50</v>
      </c>
      <c r="C88" s="92" t="s">
        <v>197</v>
      </c>
      <c r="D88" s="103">
        <f>SUM(D77:D87)</f>
        <v>49414724.322080456</v>
      </c>
      <c r="E88" s="103">
        <f>SUM(E77:E87)</f>
        <v>13713096.657166928</v>
      </c>
      <c r="F88" s="103">
        <f>SUM(F77:F87)</f>
        <v>1229.4402344843493</v>
      </c>
      <c r="G88" s="103">
        <f>SUM(G77:G87)</f>
        <v>718540.24648328207</v>
      </c>
      <c r="H88" s="103">
        <f>SUM(H77:H87)</f>
        <v>63847590.665965155</v>
      </c>
      <c r="I88" s="13" t="str">
        <f>"Sum L "&amp;A77&amp;" to L "&amp;A87&amp;""</f>
        <v>Sum L 39 to L 49</v>
      </c>
    </row>
    <row r="89" spans="1:9" ht="13">
      <c r="A89" s="2"/>
      <c r="C89" s="92"/>
      <c r="D89" s="92"/>
      <c r="E89" s="7"/>
      <c r="F89" s="13"/>
    </row>
    <row r="90" spans="1:9" ht="14.5">
      <c r="A90" s="2"/>
      <c r="C90" s="369" t="s">
        <v>1502</v>
      </c>
      <c r="D90" s="92"/>
      <c r="E90" s="7"/>
      <c r="F90" s="13"/>
    </row>
    <row r="91" spans="1:9" ht="14.5">
      <c r="A91" s="2"/>
      <c r="C91" s="369"/>
      <c r="D91" s="84" t="s">
        <v>359</v>
      </c>
      <c r="E91" s="84" t="s">
        <v>343</v>
      </c>
      <c r="F91" s="84" t="s">
        <v>344</v>
      </c>
      <c r="G91" s="84" t="s">
        <v>345</v>
      </c>
      <c r="H91" s="84" t="s">
        <v>346</v>
      </c>
    </row>
    <row r="92" spans="1:9" ht="14.5">
      <c r="A92" s="2"/>
      <c r="C92" s="369"/>
      <c r="D92" s="2" t="s">
        <v>1397</v>
      </c>
      <c r="E92" s="465" t="s">
        <v>1398</v>
      </c>
      <c r="F92" s="2"/>
      <c r="H92" s="94" t="s">
        <v>1447</v>
      </c>
    </row>
    <row r="93" spans="1:9" ht="14.5">
      <c r="A93" s="2"/>
      <c r="C93" s="3" t="s">
        <v>224</v>
      </c>
      <c r="D93" s="3" t="s">
        <v>1399</v>
      </c>
      <c r="E93" s="400" t="s">
        <v>1400</v>
      </c>
      <c r="F93" s="3" t="s">
        <v>9</v>
      </c>
      <c r="G93" s="3" t="s">
        <v>1404</v>
      </c>
      <c r="H93" s="3" t="s">
        <v>196</v>
      </c>
      <c r="I93" s="3" t="s">
        <v>179</v>
      </c>
    </row>
    <row r="94" spans="1:9" ht="13">
      <c r="A94" s="2">
        <f>A88+1</f>
        <v>51</v>
      </c>
      <c r="C94" s="92" t="s">
        <v>1250</v>
      </c>
      <c r="D94" s="103">
        <f t="shared" ref="D94:D102" si="6">$E$26*(E9/$E$20)</f>
        <v>11959.951346811427</v>
      </c>
      <c r="E94" s="103">
        <f t="shared" ref="E94:E103" si="7">$E$34*(E9/$E$20)</f>
        <v>3319.0100943364687</v>
      </c>
      <c r="F94" s="1227">
        <f>E48</f>
        <v>1222.3959053518354</v>
      </c>
      <c r="G94" s="63">
        <f>(D94+E94+F94)*('28-FFU'!$D$22+'28-FFU'!$E$22)</f>
        <v>187.81985941932612</v>
      </c>
      <c r="H94" s="948">
        <f>SUM(D94:G94)</f>
        <v>16689.177205919059</v>
      </c>
      <c r="I94" s="13" t="s">
        <v>1157</v>
      </c>
    </row>
    <row r="95" spans="1:9" ht="13">
      <c r="A95" s="2">
        <f t="shared" ref="A95:A105" si="8">A94+1</f>
        <v>52</v>
      </c>
      <c r="C95" s="92" t="s">
        <v>1251</v>
      </c>
      <c r="D95" s="103">
        <f t="shared" si="6"/>
        <v>0</v>
      </c>
      <c r="E95" s="103">
        <f t="shared" si="7"/>
        <v>0</v>
      </c>
      <c r="F95" s="1227">
        <f>E55</f>
        <v>0</v>
      </c>
      <c r="G95" s="63">
        <f>(D95+E95+F95)*('28-FFU'!$D$22+'28-FFU'!$E$22)</f>
        <v>0</v>
      </c>
      <c r="H95" s="948">
        <f t="shared" ref="H95:H102" si="9">SUM(D95:G95)</f>
        <v>0</v>
      </c>
      <c r="I95" s="13" t="s">
        <v>1157</v>
      </c>
    </row>
    <row r="96" spans="1:9" ht="13">
      <c r="A96" s="2">
        <f t="shared" si="8"/>
        <v>53</v>
      </c>
      <c r="C96" s="474" t="s">
        <v>1255</v>
      </c>
      <c r="D96" s="103">
        <f t="shared" si="6"/>
        <v>416074.64761365938</v>
      </c>
      <c r="E96" s="103">
        <f t="shared" si="7"/>
        <v>115465.01447895884</v>
      </c>
      <c r="F96" s="1227">
        <v>0</v>
      </c>
      <c r="G96" s="63">
        <f>(D96+E96+F96)*('28-FFU'!$D$22+'28-FFU'!$E$22)</f>
        <v>6050.029855950509</v>
      </c>
      <c r="H96" s="948">
        <f t="shared" si="9"/>
        <v>537589.69194856868</v>
      </c>
      <c r="I96" s="13" t="s">
        <v>1157</v>
      </c>
    </row>
    <row r="97" spans="1:9" ht="13">
      <c r="A97" s="2">
        <f t="shared" si="8"/>
        <v>54</v>
      </c>
      <c r="C97" s="474" t="s">
        <v>1256</v>
      </c>
      <c r="D97" s="103">
        <f t="shared" si="6"/>
        <v>27127946.06372739</v>
      </c>
      <c r="E97" s="103">
        <f t="shared" si="7"/>
        <v>7528285.3761885054</v>
      </c>
      <c r="F97" s="1227">
        <v>0</v>
      </c>
      <c r="G97" s="63">
        <f>(D97+E97+F97)*('28-FFU'!$D$22+'28-FFU'!$E$22)</f>
        <v>394460.18775112159</v>
      </c>
      <c r="H97" s="948">
        <f t="shared" si="9"/>
        <v>35050691.627667017</v>
      </c>
      <c r="I97" s="13" t="s">
        <v>1157</v>
      </c>
    </row>
    <row r="98" spans="1:9" ht="13">
      <c r="A98" s="2">
        <f t="shared" si="8"/>
        <v>55</v>
      </c>
      <c r="C98" s="92" t="s">
        <v>1252</v>
      </c>
      <c r="D98" s="103">
        <f t="shared" si="6"/>
        <v>0</v>
      </c>
      <c r="E98" s="103">
        <f t="shared" si="7"/>
        <v>0</v>
      </c>
      <c r="F98" s="1227">
        <v>0</v>
      </c>
      <c r="G98" s="63">
        <f>(D98+E98+F98)*('28-FFU'!$D$22+'28-FFU'!$E$22)</f>
        <v>0</v>
      </c>
      <c r="H98" s="948">
        <f t="shared" si="9"/>
        <v>0</v>
      </c>
      <c r="I98" s="13" t="s">
        <v>1157</v>
      </c>
    </row>
    <row r="99" spans="1:9" ht="13">
      <c r="A99" s="2">
        <f t="shared" si="8"/>
        <v>56</v>
      </c>
      <c r="C99" s="92" t="s">
        <v>1253</v>
      </c>
      <c r="D99" s="103">
        <f t="shared" si="6"/>
        <v>0</v>
      </c>
      <c r="E99" s="103">
        <f t="shared" si="7"/>
        <v>0</v>
      </c>
      <c r="F99" s="1227">
        <v>0</v>
      </c>
      <c r="G99" s="63">
        <f>(D99+E99+F99)*('28-FFU'!$D$22+'28-FFU'!$E$22)</f>
        <v>0</v>
      </c>
      <c r="H99" s="948">
        <f t="shared" si="9"/>
        <v>0</v>
      </c>
      <c r="I99" s="13" t="s">
        <v>1157</v>
      </c>
    </row>
    <row r="100" spans="1:9" ht="13">
      <c r="A100" s="2">
        <f t="shared" si="8"/>
        <v>57</v>
      </c>
      <c r="C100" s="92" t="s">
        <v>1254</v>
      </c>
      <c r="D100" s="103">
        <f t="shared" si="6"/>
        <v>6769.7028137541902</v>
      </c>
      <c r="E100" s="103">
        <f t="shared" si="7"/>
        <v>1878.6624897515496</v>
      </c>
      <c r="F100" s="1227">
        <v>0</v>
      </c>
      <c r="G100" s="63">
        <f>(D100+E100+F100)*('28-FFU'!$D$22+'28-FFU'!$E$22)</f>
        <v>98.436432919015573</v>
      </c>
      <c r="H100" s="948">
        <f t="shared" si="9"/>
        <v>8746.8017364247553</v>
      </c>
      <c r="I100" s="13" t="s">
        <v>1157</v>
      </c>
    </row>
    <row r="101" spans="1:9" ht="13">
      <c r="A101" s="2">
        <f t="shared" si="8"/>
        <v>58</v>
      </c>
      <c r="C101" s="918" t="s">
        <v>2450</v>
      </c>
      <c r="D101" s="103">
        <f t="shared" si="6"/>
        <v>10997837.733106526</v>
      </c>
      <c r="E101" s="103">
        <f t="shared" si="7"/>
        <v>3052013.6239338992</v>
      </c>
      <c r="F101" s="1227">
        <v>0</v>
      </c>
      <c r="G101" s="63">
        <f>(D101+E101+F101)*('28-FFU'!$D$22+'28-FFU'!$E$22)</f>
        <v>159916.60875712818</v>
      </c>
      <c r="H101" s="948">
        <f t="shared" si="9"/>
        <v>14209767.965797553</v>
      </c>
      <c r="I101" s="13" t="s">
        <v>1157</v>
      </c>
    </row>
    <row r="102" spans="1:9" ht="13">
      <c r="A102" s="2">
        <f t="shared" si="8"/>
        <v>59</v>
      </c>
      <c r="C102" s="918" t="s">
        <v>2451</v>
      </c>
      <c r="D102" s="103">
        <f t="shared" si="6"/>
        <v>1608114.6237222657</v>
      </c>
      <c r="E102" s="103">
        <f t="shared" si="7"/>
        <v>446268.42653563566</v>
      </c>
      <c r="F102" s="1227">
        <v>0</v>
      </c>
      <c r="G102" s="63">
        <f>(D102+E102+F102)*('28-FFU'!$D$22+'28-FFU'!$E$22)</f>
        <v>23383.163432596819</v>
      </c>
      <c r="H102" s="948">
        <f t="shared" si="9"/>
        <v>2077766.2136904981</v>
      </c>
      <c r="I102" s="13" t="s">
        <v>1157</v>
      </c>
    </row>
    <row r="103" spans="1:9" ht="13">
      <c r="A103" s="2">
        <f t="shared" si="8"/>
        <v>60</v>
      </c>
      <c r="C103" s="918" t="s">
        <v>2455</v>
      </c>
      <c r="D103" s="103">
        <f>$E$26*(E18/$E$20)</f>
        <v>5769095.0291556148</v>
      </c>
      <c r="E103" s="103">
        <f t="shared" si="7"/>
        <v>1600983.4891225274</v>
      </c>
      <c r="F103" s="1227">
        <v>0</v>
      </c>
      <c r="G103" s="63">
        <f>(D103+E103+F103)*('28-FFU'!$D$22+'28-FFU'!$E$22)</f>
        <v>83886.863495264071</v>
      </c>
      <c r="H103" s="948">
        <f>SUM(D103:G103)</f>
        <v>7453965.3817734066</v>
      </c>
      <c r="I103" s="13" t="s">
        <v>1157</v>
      </c>
    </row>
    <row r="104" spans="1:9" ht="13">
      <c r="A104" s="2">
        <f t="shared" si="8"/>
        <v>61</v>
      </c>
      <c r="C104" s="408"/>
      <c r="D104" s="1380" t="s">
        <v>76</v>
      </c>
      <c r="E104" s="1380" t="s">
        <v>76</v>
      </c>
      <c r="F104" s="1380" t="s">
        <v>76</v>
      </c>
      <c r="G104" s="1380" t="s">
        <v>76</v>
      </c>
      <c r="H104" s="1380" t="s">
        <v>76</v>
      </c>
      <c r="I104" s="13" t="s">
        <v>1157</v>
      </c>
    </row>
    <row r="105" spans="1:9" ht="13">
      <c r="A105" s="2">
        <f t="shared" si="8"/>
        <v>62</v>
      </c>
      <c r="C105" s="92" t="s">
        <v>197</v>
      </c>
      <c r="D105" s="63">
        <f>SUM(D94:D104)</f>
        <v>45937797.751486018</v>
      </c>
      <c r="E105" s="63">
        <f>SUM(E94:E104)</f>
        <v>12748213.602843614</v>
      </c>
      <c r="F105" s="63">
        <f>SUM(F94:F104)</f>
        <v>1222.3959053518354</v>
      </c>
      <c r="G105" s="103">
        <f>SUM(G94:G104)</f>
        <v>667983.1095843995</v>
      </c>
      <c r="H105" s="63">
        <f>SUM(H94:H104)</f>
        <v>59355216.859819382</v>
      </c>
      <c r="I105" s="13" t="str">
        <f>"Sum of L "&amp;A94&amp;" to "&amp;A104&amp;""</f>
        <v>Sum of L 51 to 61</v>
      </c>
    </row>
    <row r="106" spans="1:9">
      <c r="C106" s="92"/>
    </row>
    <row r="107" spans="1:9" ht="13">
      <c r="B107" s="1" t="s">
        <v>1248</v>
      </c>
    </row>
    <row r="108" spans="1:9" ht="13">
      <c r="B108" s="1"/>
    </row>
    <row r="109" spans="1:9" ht="14.5">
      <c r="B109" s="1"/>
      <c r="C109" s="369" t="s">
        <v>1401</v>
      </c>
    </row>
    <row r="110" spans="1:9" ht="13">
      <c r="E110" s="3" t="s">
        <v>171</v>
      </c>
      <c r="F110" s="3" t="s">
        <v>179</v>
      </c>
    </row>
    <row r="111" spans="1:9" ht="13">
      <c r="A111" s="2">
        <f>A105+1</f>
        <v>63</v>
      </c>
      <c r="D111" s="92" t="s">
        <v>354</v>
      </c>
      <c r="E111" s="7">
        <f>F20</f>
        <v>-371898027.79150784</v>
      </c>
      <c r="F111" s="16" t="str">
        <f>"Line "&amp;A20&amp;", Col 3"</f>
        <v>Line 12, Col 3</v>
      </c>
    </row>
    <row r="112" spans="1:9" ht="13">
      <c r="A112" s="2">
        <f>A111+1</f>
        <v>64</v>
      </c>
      <c r="D112" s="363" t="s">
        <v>352</v>
      </c>
      <c r="E112" s="1381">
        <f>'2-IFPTRR'!D25</f>
        <v>9.7455089260618841E-2</v>
      </c>
      <c r="F112" s="46" t="str">
        <f>"2-IFPTRR, Line "&amp;'2-IFPTRR'!A25&amp;""</f>
        <v>2-IFPTRR, Line 16</v>
      </c>
      <c r="G112" s="14"/>
      <c r="H112" s="14"/>
    </row>
    <row r="113" spans="1:8" ht="13">
      <c r="A113" s="2">
        <f>A112+1</f>
        <v>65</v>
      </c>
      <c r="D113" s="363" t="s">
        <v>1442</v>
      </c>
      <c r="E113" s="63">
        <f>E111*E112</f>
        <v>-36243355.494269505</v>
      </c>
      <c r="F113" s="112" t="str">
        <f>"Line "&amp;A111&amp;" * Line "&amp;A112&amp;""</f>
        <v>Line 63 * Line 64</v>
      </c>
      <c r="G113" s="14"/>
      <c r="H113" s="14"/>
    </row>
    <row r="114" spans="1:8" ht="13">
      <c r="A114" s="469">
        <f>A113+1</f>
        <v>66</v>
      </c>
      <c r="D114" s="363" t="s">
        <v>1441</v>
      </c>
      <c r="E114" s="110">
        <f>E113*('28-FFU'!D22+'28-FFU'!E22)</f>
        <v>-412524.96936334192</v>
      </c>
      <c r="F114" s="475" t="str">
        <f>"Line "&amp;A113&amp;" * (28-FFU, L"&amp;'28-FFU'!A22&amp;" FF Factor + U Factor)"</f>
        <v>Line 65 * (28-FFU, L5 FF Factor + U Factor)</v>
      </c>
      <c r="G114" s="14"/>
      <c r="H114" s="14"/>
    </row>
    <row r="115" spans="1:8" ht="13">
      <c r="A115" s="472">
        <f>A114+1</f>
        <v>67</v>
      </c>
      <c r="D115" s="363" t="s">
        <v>1443</v>
      </c>
      <c r="E115" s="63">
        <f>SUM(E113:E114)</f>
        <v>-36655880.463632844</v>
      </c>
      <c r="F115" s="16" t="str">
        <f>"Line "&amp;A113&amp;" + Line "&amp;A114&amp;""</f>
        <v>Line 65 + Line 66</v>
      </c>
    </row>
    <row r="116" spans="1:8" ht="13">
      <c r="A116" s="469"/>
      <c r="D116" s="363"/>
      <c r="E116" s="63"/>
    </row>
    <row r="117" spans="1:8" ht="14.5">
      <c r="A117" s="2"/>
      <c r="C117" s="369" t="s">
        <v>1402</v>
      </c>
      <c r="D117" s="363"/>
      <c r="E117" s="63"/>
      <c r="F117" s="16"/>
    </row>
    <row r="118" spans="1:8" ht="13">
      <c r="A118" s="2"/>
      <c r="D118" s="109" t="s">
        <v>175</v>
      </c>
      <c r="E118" s="109" t="s">
        <v>175</v>
      </c>
    </row>
    <row r="119" spans="1:8" ht="13">
      <c r="A119" s="2"/>
      <c r="C119" s="3" t="s">
        <v>224</v>
      </c>
      <c r="D119" s="123" t="s">
        <v>1472</v>
      </c>
      <c r="E119" s="123" t="s">
        <v>1473</v>
      </c>
      <c r="F119" s="3" t="s">
        <v>179</v>
      </c>
    </row>
    <row r="120" spans="1:8" ht="13">
      <c r="A120" s="2">
        <f>A115+1</f>
        <v>68</v>
      </c>
      <c r="C120" s="92" t="s">
        <v>1250</v>
      </c>
      <c r="D120" s="103">
        <f>$E$113*(F9/$F$20)</f>
        <v>-15367.009865331271</v>
      </c>
      <c r="E120" s="103">
        <f>$E$115*(F9/$F$20)</f>
        <v>-15541.918484785787</v>
      </c>
      <c r="F120" s="13" t="s">
        <v>1172</v>
      </c>
    </row>
    <row r="121" spans="1:8" ht="13">
      <c r="A121" s="2">
        <f t="shared" ref="A121:A131" si="10">A120+1</f>
        <v>69</v>
      </c>
      <c r="C121" s="92" t="s">
        <v>1251</v>
      </c>
      <c r="D121" s="103">
        <f t="shared" ref="D121:D128" si="11">$E$113*(F10/$F$20)</f>
        <v>0</v>
      </c>
      <c r="E121" s="103">
        <f t="shared" ref="E121:E128" si="12">$E$115*(F10/$F$20)</f>
        <v>0</v>
      </c>
      <c r="F121" s="13" t="s">
        <v>1172</v>
      </c>
    </row>
    <row r="122" spans="1:8" ht="13">
      <c r="A122" s="2">
        <f t="shared" si="10"/>
        <v>70</v>
      </c>
      <c r="C122" s="474" t="s">
        <v>1255</v>
      </c>
      <c r="D122" s="103">
        <f t="shared" si="11"/>
        <v>2095.284419103305</v>
      </c>
      <c r="E122" s="103">
        <f t="shared" si="12"/>
        <v>2119.133125411272</v>
      </c>
      <c r="F122" s="13" t="s">
        <v>1172</v>
      </c>
    </row>
    <row r="123" spans="1:8" ht="13">
      <c r="A123" s="2">
        <f t="shared" si="10"/>
        <v>71</v>
      </c>
      <c r="C123" s="474" t="s">
        <v>1256</v>
      </c>
      <c r="D123" s="103">
        <f t="shared" si="11"/>
        <v>-40851532.97669962</v>
      </c>
      <c r="E123" s="103">
        <f t="shared" si="12"/>
        <v>-41316508.615953632</v>
      </c>
      <c r="F123" s="13" t="s">
        <v>1172</v>
      </c>
    </row>
    <row r="124" spans="1:8" ht="13">
      <c r="A124" s="2">
        <f t="shared" si="10"/>
        <v>72</v>
      </c>
      <c r="C124" s="92" t="s">
        <v>1252</v>
      </c>
      <c r="D124" s="103">
        <f t="shared" si="11"/>
        <v>0</v>
      </c>
      <c r="E124" s="103">
        <f t="shared" si="12"/>
        <v>0</v>
      </c>
      <c r="F124" s="13" t="s">
        <v>1172</v>
      </c>
    </row>
    <row r="125" spans="1:8" ht="13">
      <c r="A125" s="2">
        <f t="shared" si="10"/>
        <v>73</v>
      </c>
      <c r="C125" s="92" t="s">
        <v>1253</v>
      </c>
      <c r="D125" s="103">
        <f t="shared" si="11"/>
        <v>0</v>
      </c>
      <c r="E125" s="103">
        <f t="shared" si="12"/>
        <v>0</v>
      </c>
      <c r="F125" s="13" t="s">
        <v>1172</v>
      </c>
    </row>
    <row r="126" spans="1:8" ht="13">
      <c r="A126" s="2">
        <f t="shared" si="10"/>
        <v>74</v>
      </c>
      <c r="C126" s="92" t="s">
        <v>1254</v>
      </c>
      <c r="D126" s="103">
        <f t="shared" si="11"/>
        <v>463901.23135253461</v>
      </c>
      <c r="E126" s="103">
        <f t="shared" si="12"/>
        <v>469181.39480984962</v>
      </c>
      <c r="F126" s="13" t="s">
        <v>1172</v>
      </c>
    </row>
    <row r="127" spans="1:8" ht="13">
      <c r="A127" s="2">
        <f t="shared" si="10"/>
        <v>75</v>
      </c>
      <c r="C127" s="918" t="s">
        <v>2450</v>
      </c>
      <c r="D127" s="103">
        <f t="shared" si="11"/>
        <v>4900283.3514490621</v>
      </c>
      <c r="E127" s="103">
        <f t="shared" si="12"/>
        <v>4956058.7953024283</v>
      </c>
      <c r="F127" s="13" t="s">
        <v>1172</v>
      </c>
    </row>
    <row r="128" spans="1:8" ht="13">
      <c r="A128" s="2">
        <f t="shared" si="10"/>
        <v>76</v>
      </c>
      <c r="C128" s="918" t="s">
        <v>2451</v>
      </c>
      <c r="D128" s="103">
        <f t="shared" si="11"/>
        <v>81037.285078838002</v>
      </c>
      <c r="E128" s="103">
        <f t="shared" si="12"/>
        <v>81959.658382538357</v>
      </c>
      <c r="F128" s="13" t="s">
        <v>1172</v>
      </c>
    </row>
    <row r="129" spans="1:8" ht="13">
      <c r="A129" s="2">
        <f t="shared" si="10"/>
        <v>77</v>
      </c>
      <c r="C129" s="918" t="s">
        <v>2455</v>
      </c>
      <c r="D129" s="103">
        <f>$E$113*(F18/$F$20)</f>
        <v>-823772.66000409145</v>
      </c>
      <c r="E129" s="103">
        <f>$E$115*(F18/$F$20)</f>
        <v>-833148.91081465106</v>
      </c>
      <c r="F129" s="13" t="s">
        <v>1172</v>
      </c>
    </row>
    <row r="130" spans="1:8" ht="13">
      <c r="A130" s="2">
        <f t="shared" si="10"/>
        <v>78</v>
      </c>
      <c r="C130" s="408"/>
      <c r="D130" s="1382" t="s">
        <v>76</v>
      </c>
      <c r="E130" s="1382" t="s">
        <v>76</v>
      </c>
      <c r="F130" s="13" t="s">
        <v>1172</v>
      </c>
    </row>
    <row r="131" spans="1:8" ht="13">
      <c r="A131" s="2">
        <f t="shared" si="10"/>
        <v>79</v>
      </c>
      <c r="C131" s="92" t="s">
        <v>197</v>
      </c>
      <c r="D131" s="63">
        <f>SUM(D120:D130)</f>
        <v>-36243355.494269505</v>
      </c>
      <c r="E131" s="63">
        <f>SUM(E120:E130)</f>
        <v>-36655880.463632844</v>
      </c>
      <c r="F131" s="13" t="str">
        <f>"Sum of Lines "&amp;A120&amp;" to "&amp;A130&amp;""</f>
        <v>Sum of Lines 68 to 78</v>
      </c>
    </row>
    <row r="133" spans="1:8" ht="13">
      <c r="B133" s="1" t="s">
        <v>1478</v>
      </c>
    </row>
    <row r="134" spans="1:8" ht="13">
      <c r="B134" s="1"/>
    </row>
    <row r="135" spans="1:8" ht="14.5">
      <c r="C135" s="369" t="s">
        <v>1401</v>
      </c>
    </row>
    <row r="136" spans="1:8" ht="13">
      <c r="E136" s="123" t="s">
        <v>171</v>
      </c>
      <c r="F136" s="3" t="s">
        <v>179</v>
      </c>
      <c r="H136" s="1"/>
    </row>
    <row r="137" spans="1:8" ht="13">
      <c r="A137" s="2">
        <f>A131+1</f>
        <v>80</v>
      </c>
      <c r="D137" s="92" t="s">
        <v>1257</v>
      </c>
      <c r="E137" s="63">
        <f>SUM(D64:D67)</f>
        <v>63129050.419481866</v>
      </c>
      <c r="F137" s="16" t="str">
        <f>"Sum Line "&amp;A64&amp;" to "&amp;A67&amp;""</f>
        <v>Sum Line 33 to 36</v>
      </c>
    </row>
    <row r="138" spans="1:8" ht="13">
      <c r="A138" s="2">
        <f t="shared" ref="A138:A145" si="13">A137+1</f>
        <v>81</v>
      </c>
      <c r="D138" s="474" t="s">
        <v>1470</v>
      </c>
      <c r="E138" s="63">
        <f>E113</f>
        <v>-36243355.494269505</v>
      </c>
      <c r="F138" s="16" t="str">
        <f>"Line "&amp;A113&amp;""</f>
        <v>Line 65</v>
      </c>
    </row>
    <row r="139" spans="1:8" ht="13">
      <c r="A139" s="2">
        <f t="shared" si="13"/>
        <v>82</v>
      </c>
      <c r="D139" s="92" t="s">
        <v>1258</v>
      </c>
      <c r="E139" s="63">
        <f>SUM(E137:E138)</f>
        <v>26885694.925212361</v>
      </c>
      <c r="F139" s="16" t="str">
        <f>"Line "&amp;A137&amp;" + Line "&amp;A138&amp;""</f>
        <v>Line 80 + Line 81</v>
      </c>
    </row>
    <row r="140" spans="1:8" ht="13">
      <c r="A140" s="2">
        <f t="shared" si="13"/>
        <v>83</v>
      </c>
      <c r="D140" s="92" t="s">
        <v>1243</v>
      </c>
      <c r="E140" s="67">
        <f>'28-FFU'!D22</f>
        <v>9.2480778683301894E-3</v>
      </c>
      <c r="F140" s="46" t="str">
        <f>"28-FFU, Line "&amp;'28-FFU'!A22&amp;""</f>
        <v>28-FFU, Line 5</v>
      </c>
    </row>
    <row r="141" spans="1:8" ht="13">
      <c r="A141" s="2">
        <f t="shared" si="13"/>
        <v>84</v>
      </c>
      <c r="D141" s="92" t="s">
        <v>1244</v>
      </c>
      <c r="E141" s="67">
        <f>'28-FFU'!E22</f>
        <v>2.134007585335019E-3</v>
      </c>
      <c r="F141" s="46" t="str">
        <f>"28-FFU, Line "&amp;'28-FFU'!A22&amp;""</f>
        <v>28-FFU, Line 5</v>
      </c>
    </row>
    <row r="142" spans="1:8" ht="13">
      <c r="A142" s="2">
        <f t="shared" si="13"/>
        <v>85</v>
      </c>
      <c r="D142" s="474" t="s">
        <v>1476</v>
      </c>
      <c r="E142" s="63">
        <f>E139*E140</f>
        <v>248641.00021253372</v>
      </c>
      <c r="F142" s="16" t="str">
        <f>"Line "&amp;A139&amp;" * Line "&amp;A140&amp;""</f>
        <v>Line 82 * Line 83</v>
      </c>
    </row>
    <row r="143" spans="1:8" ht="13">
      <c r="A143" s="498">
        <f t="shared" si="13"/>
        <v>86</v>
      </c>
      <c r="D143" s="474" t="s">
        <v>1477</v>
      </c>
      <c r="E143" s="63">
        <f>E139*E141</f>
        <v>57374.276907406405</v>
      </c>
      <c r="F143" s="16" t="str">
        <f>"Line "&amp;A139&amp;" * Line "&amp;A141&amp;""</f>
        <v>Line 82 * Line 84</v>
      </c>
    </row>
    <row r="144" spans="1:8" ht="13">
      <c r="A144" s="498">
        <f t="shared" si="13"/>
        <v>87</v>
      </c>
      <c r="D144" s="92" t="s">
        <v>1259</v>
      </c>
      <c r="E144" s="63">
        <f>E139+E142+E143</f>
        <v>27191710.202332303</v>
      </c>
      <c r="F144" s="13" t="str">
        <f>"Line "&amp;A139&amp;" + Line "&amp;A142&amp;" + Line "&amp;A143&amp;""</f>
        <v>Line 82 + Line 85 + Line 86</v>
      </c>
    </row>
    <row r="145" spans="1:9" ht="13">
      <c r="A145" s="498">
        <f t="shared" si="13"/>
        <v>88</v>
      </c>
      <c r="D145" s="474" t="s">
        <v>1475</v>
      </c>
      <c r="E145" s="63">
        <f>E139+E142</f>
        <v>27134335.925424896</v>
      </c>
      <c r="F145" s="13" t="str">
        <f>"Line "&amp;A139&amp;" + Line "&amp;A142&amp;""</f>
        <v>Line 82 + Line 85</v>
      </c>
    </row>
    <row r="146" spans="1:9">
      <c r="E146" s="14"/>
    </row>
    <row r="147" spans="1:9" ht="14.5">
      <c r="C147" s="369" t="s">
        <v>1403</v>
      </c>
    </row>
    <row r="148" spans="1:9" ht="14.5">
      <c r="C148" s="369"/>
      <c r="D148" s="84" t="s">
        <v>359</v>
      </c>
      <c r="E148" s="84" t="s">
        <v>343</v>
      </c>
      <c r="F148" s="84" t="s">
        <v>344</v>
      </c>
      <c r="G148" s="84" t="s">
        <v>345</v>
      </c>
    </row>
    <row r="149" spans="1:9" ht="12.75" customHeight="1">
      <c r="D149" s="241" t="s">
        <v>1395</v>
      </c>
      <c r="E149" s="241" t="s">
        <v>1095</v>
      </c>
    </row>
    <row r="150" spans="1:9" ht="12.75" customHeight="1">
      <c r="D150" s="3" t="s">
        <v>1472</v>
      </c>
      <c r="E150" s="3" t="s">
        <v>1472</v>
      </c>
      <c r="F150" s="3" t="s">
        <v>1404</v>
      </c>
      <c r="G150" s="242" t="s">
        <v>196</v>
      </c>
      <c r="H150" s="3" t="s">
        <v>179</v>
      </c>
    </row>
    <row r="151" spans="1:9" ht="13">
      <c r="A151" s="498">
        <f>A145+1</f>
        <v>89</v>
      </c>
      <c r="C151" s="92" t="s">
        <v>1250</v>
      </c>
      <c r="D151" s="63">
        <f t="shared" ref="D151:D159" si="14">D77+E77+F77</f>
        <v>16596.450099815615</v>
      </c>
      <c r="E151" s="63">
        <f t="shared" ref="E151:E159" si="15">D120</f>
        <v>-15367.009865331271</v>
      </c>
      <c r="F151" s="63">
        <f>(D151+E151)*('28-FFU'!$D$22+'28-FFU'!$E$22)</f>
        <v>13.993593809074993</v>
      </c>
      <c r="G151" s="63">
        <f>SUM(D151:F151)</f>
        <v>1243.4338282934189</v>
      </c>
      <c r="H151" s="46" t="s">
        <v>1174</v>
      </c>
      <c r="I151" s="14"/>
    </row>
    <row r="152" spans="1:9" ht="13">
      <c r="A152" s="498">
        <f t="shared" ref="A152:A162" si="16">A151+1</f>
        <v>90</v>
      </c>
      <c r="C152" s="92" t="s">
        <v>1251</v>
      </c>
      <c r="D152" s="63">
        <f t="shared" si="14"/>
        <v>0</v>
      </c>
      <c r="E152" s="63">
        <f t="shared" si="15"/>
        <v>0</v>
      </c>
      <c r="F152" s="63">
        <f>(D152+E152)*('28-FFU'!$D$22+'28-FFU'!$E$22)</f>
        <v>0</v>
      </c>
      <c r="G152" s="63">
        <f t="shared" ref="G152:G159" si="17">SUM(D152:F152)</f>
        <v>0</v>
      </c>
      <c r="H152" s="46" t="s">
        <v>1174</v>
      </c>
      <c r="I152" s="14"/>
    </row>
    <row r="153" spans="1:9" ht="13">
      <c r="A153" s="498">
        <f t="shared" si="16"/>
        <v>91</v>
      </c>
      <c r="C153" s="474" t="s">
        <v>1255</v>
      </c>
      <c r="D153" s="63">
        <f t="shared" si="14"/>
        <v>544208.61589226208</v>
      </c>
      <c r="E153" s="63">
        <f t="shared" si="15"/>
        <v>2095.284419103305</v>
      </c>
      <c r="F153" s="63">
        <f>(D153+E153)*('28-FFU'!$D$22+'28-FFU'!$E$22)</f>
        <v>6218.0776770145594</v>
      </c>
      <c r="G153" s="63">
        <f t="shared" si="17"/>
        <v>552521.97798837989</v>
      </c>
      <c r="H153" s="46" t="s">
        <v>1174</v>
      </c>
      <c r="I153" s="14"/>
    </row>
    <row r="154" spans="1:9" ht="13">
      <c r="A154" s="498">
        <f t="shared" si="16"/>
        <v>92</v>
      </c>
      <c r="C154" s="474" t="s">
        <v>1256</v>
      </c>
      <c r="D154" s="63">
        <f t="shared" si="14"/>
        <v>45620867.657835484</v>
      </c>
      <c r="E154" s="63">
        <f t="shared" si="15"/>
        <v>-40851532.97669962</v>
      </c>
      <c r="F154" s="63">
        <f>(D154+E154)*('28-FFU'!$D$22+'28-FFU'!$E$22)</f>
        <v>54284.974897817498</v>
      </c>
      <c r="G154" s="63">
        <f t="shared" si="17"/>
        <v>4823619.6560336808</v>
      </c>
      <c r="H154" s="46" t="s">
        <v>1174</v>
      </c>
      <c r="I154" s="14"/>
    </row>
    <row r="155" spans="1:9" ht="13">
      <c r="A155" s="498">
        <f t="shared" si="16"/>
        <v>93</v>
      </c>
      <c r="C155" s="92" t="s">
        <v>1252</v>
      </c>
      <c r="D155" s="63">
        <f t="shared" si="14"/>
        <v>0</v>
      </c>
      <c r="E155" s="63">
        <f t="shared" si="15"/>
        <v>0</v>
      </c>
      <c r="F155" s="63">
        <f>(D155+E155)*('28-FFU'!$D$22+'28-FFU'!$E$22)</f>
        <v>0</v>
      </c>
      <c r="G155" s="63">
        <f t="shared" si="17"/>
        <v>0</v>
      </c>
      <c r="H155" s="46" t="s">
        <v>1174</v>
      </c>
      <c r="I155" s="14"/>
    </row>
    <row r="156" spans="1:9" ht="13">
      <c r="A156" s="498">
        <f t="shared" si="16"/>
        <v>94</v>
      </c>
      <c r="C156" s="92" t="s">
        <v>1253</v>
      </c>
      <c r="D156" s="63">
        <f t="shared" si="14"/>
        <v>0</v>
      </c>
      <c r="E156" s="63">
        <f t="shared" si="15"/>
        <v>0</v>
      </c>
      <c r="F156" s="63">
        <f>(D156+E156)*('28-FFU'!$D$22+'28-FFU'!$E$22)</f>
        <v>0</v>
      </c>
      <c r="G156" s="63">
        <f t="shared" si="17"/>
        <v>0</v>
      </c>
      <c r="H156" s="46" t="s">
        <v>1174</v>
      </c>
      <c r="I156" s="14"/>
    </row>
    <row r="157" spans="1:9" ht="13">
      <c r="A157" s="498">
        <f t="shared" si="16"/>
        <v>95</v>
      </c>
      <c r="C157" s="92" t="s">
        <v>1254</v>
      </c>
      <c r="D157" s="63">
        <f t="shared" si="14"/>
        <v>29358.029885272226</v>
      </c>
      <c r="E157" s="63">
        <f t="shared" si="15"/>
        <v>463901.23135253461</v>
      </c>
      <c r="F157" s="63">
        <f>(D157+E157)*('28-FFU'!$D$22+'28-FFU'!$E$22)</f>
        <v>5614.3190622204875</v>
      </c>
      <c r="G157" s="63">
        <f t="shared" si="17"/>
        <v>498873.58030002733</v>
      </c>
      <c r="H157" s="46" t="s">
        <v>1174</v>
      </c>
      <c r="I157" s="14"/>
    </row>
    <row r="158" spans="1:9" ht="13">
      <c r="A158" s="498">
        <f t="shared" si="16"/>
        <v>96</v>
      </c>
      <c r="C158" s="918" t="s">
        <v>2450</v>
      </c>
      <c r="D158" s="63">
        <f t="shared" si="14"/>
        <v>4858617.9113771059</v>
      </c>
      <c r="E158" s="63">
        <f t="shared" si="15"/>
        <v>4900283.3514490621</v>
      </c>
      <c r="F158" s="63">
        <f>(D158+E158)*('28-FFU'!$D$22+'28-FFU'!$E$22)</f>
        <v>111076.64810736875</v>
      </c>
      <c r="G158" s="63">
        <f t="shared" si="17"/>
        <v>9869977.9109335355</v>
      </c>
      <c r="H158" s="46" t="s">
        <v>1174</v>
      </c>
      <c r="I158" s="14"/>
    </row>
    <row r="159" spans="1:9" ht="13">
      <c r="A159" s="498">
        <f t="shared" si="16"/>
        <v>97</v>
      </c>
      <c r="C159" s="918" t="s">
        <v>2451</v>
      </c>
      <c r="D159" s="63">
        <f t="shared" si="14"/>
        <v>2144142.5945688183</v>
      </c>
      <c r="E159" s="63">
        <f t="shared" si="15"/>
        <v>81037.285078838002</v>
      </c>
      <c r="F159" s="63">
        <f>(D159+E159)*('28-FFU'!$D$22+'28-FFU'!$E$22)</f>
        <v>25327.187539926086</v>
      </c>
      <c r="G159" s="63">
        <f t="shared" si="17"/>
        <v>2250507.0671875826</v>
      </c>
      <c r="H159" s="46" t="s">
        <v>1174</v>
      </c>
      <c r="I159" s="14"/>
    </row>
    <row r="160" spans="1:9" ht="13">
      <c r="A160" s="498">
        <f t="shared" si="16"/>
        <v>98</v>
      </c>
      <c r="C160" s="918" t="s">
        <v>2455</v>
      </c>
      <c r="D160" s="63">
        <f>D86+E86+F86</f>
        <v>9915259.1598231159</v>
      </c>
      <c r="E160" s="63">
        <f>D129</f>
        <v>-823772.66000409145</v>
      </c>
      <c r="F160" s="63">
        <f>(D160+E160)*('28-FFU'!$D$22+'28-FFU'!$E$22)</f>
        <v>103480.07624178374</v>
      </c>
      <c r="G160" s="63">
        <f>SUM(D160:F160)</f>
        <v>9194966.5760608092</v>
      </c>
      <c r="H160" s="46" t="s">
        <v>1174</v>
      </c>
      <c r="I160" s="14"/>
    </row>
    <row r="161" spans="1:9" ht="13">
      <c r="A161" s="498">
        <f t="shared" si="16"/>
        <v>99</v>
      </c>
      <c r="C161" s="408"/>
      <c r="D161" s="1382" t="s">
        <v>76</v>
      </c>
      <c r="E161" s="1382" t="s">
        <v>76</v>
      </c>
      <c r="F161" s="1382" t="s">
        <v>76</v>
      </c>
      <c r="G161" s="1382" t="s">
        <v>76</v>
      </c>
      <c r="H161" s="46" t="s">
        <v>1174</v>
      </c>
      <c r="I161" s="14"/>
    </row>
    <row r="162" spans="1:9" ht="13">
      <c r="A162" s="498">
        <f t="shared" si="16"/>
        <v>100</v>
      </c>
      <c r="C162" s="92" t="s">
        <v>197</v>
      </c>
      <c r="D162" s="63">
        <f>SUM(D151:D161)</f>
        <v>63129050.419481874</v>
      </c>
      <c r="E162" s="63">
        <f>SUM(E151:E161)</f>
        <v>-36243355.494269505</v>
      </c>
      <c r="F162" s="63">
        <f>SUM(F151:F161)</f>
        <v>306015.27711994021</v>
      </c>
      <c r="G162" s="63">
        <f>SUM(G151:G161)</f>
        <v>27191710.202332307</v>
      </c>
      <c r="H162" s="14"/>
      <c r="I162" s="14"/>
    </row>
    <row r="163" spans="1:9">
      <c r="D163" s="14"/>
      <c r="E163" s="14"/>
      <c r="F163" s="14"/>
      <c r="G163" s="14"/>
      <c r="H163" s="14"/>
      <c r="I163" s="14"/>
    </row>
    <row r="164" spans="1:9" ht="14.5">
      <c r="C164" s="369" t="s">
        <v>1471</v>
      </c>
      <c r="D164" s="14"/>
      <c r="E164" s="14"/>
      <c r="F164" s="14"/>
      <c r="G164" s="14"/>
      <c r="H164" s="14"/>
      <c r="I164" s="14"/>
    </row>
    <row r="165" spans="1:9" ht="14.5">
      <c r="C165" s="369"/>
      <c r="D165" s="14"/>
      <c r="E165" s="14"/>
      <c r="F165" s="14"/>
      <c r="G165" s="14"/>
      <c r="H165" s="14"/>
      <c r="I165" s="14"/>
    </row>
    <row r="166" spans="1:9" ht="13">
      <c r="D166" s="358" t="s">
        <v>359</v>
      </c>
      <c r="E166" s="358" t="s">
        <v>343</v>
      </c>
      <c r="F166" s="358" t="s">
        <v>344</v>
      </c>
      <c r="G166" s="358" t="s">
        <v>345</v>
      </c>
      <c r="H166" s="14"/>
      <c r="I166" s="14"/>
    </row>
    <row r="167" spans="1:9" ht="12.75" customHeight="1">
      <c r="D167" s="986" t="s">
        <v>1395</v>
      </c>
      <c r="E167" s="986" t="s">
        <v>1095</v>
      </c>
      <c r="F167" s="358"/>
      <c r="G167" s="358"/>
      <c r="H167" s="14"/>
      <c r="I167" s="14"/>
    </row>
    <row r="168" spans="1:9" ht="12.75" customHeight="1">
      <c r="D168" s="123" t="s">
        <v>1472</v>
      </c>
      <c r="E168" s="123" t="s">
        <v>1472</v>
      </c>
      <c r="F168" s="123" t="s">
        <v>1446</v>
      </c>
      <c r="G168" s="1383" t="s">
        <v>196</v>
      </c>
      <c r="H168" s="123" t="s">
        <v>179</v>
      </c>
      <c r="I168" s="14"/>
    </row>
    <row r="169" spans="1:9" ht="13">
      <c r="A169" s="498">
        <f>A162+1</f>
        <v>101</v>
      </c>
      <c r="C169" s="92" t="s">
        <v>1250</v>
      </c>
      <c r="D169" s="63">
        <f t="shared" ref="D169:D177" si="18">D77+E77+F77</f>
        <v>16596.450099815615</v>
      </c>
      <c r="E169" s="63">
        <f t="shared" ref="E169:E177" si="19">D120</f>
        <v>-15367.009865331271</v>
      </c>
      <c r="F169" s="63">
        <f>(D169+E169)*('28-FFU'!$D$22)</f>
        <v>11.369959022969338</v>
      </c>
      <c r="G169" s="63">
        <f>SUM(D169:F169)</f>
        <v>1240.8101935073132</v>
      </c>
      <c r="H169" s="475" t="s">
        <v>1175</v>
      </c>
      <c r="I169" s="14"/>
    </row>
    <row r="170" spans="1:9" ht="13">
      <c r="A170" s="498">
        <f t="shared" ref="A170:A180" si="20">A169+1</f>
        <v>102</v>
      </c>
      <c r="C170" s="92" t="s">
        <v>1251</v>
      </c>
      <c r="D170" s="63">
        <f t="shared" si="18"/>
        <v>0</v>
      </c>
      <c r="E170" s="63">
        <f t="shared" si="19"/>
        <v>0</v>
      </c>
      <c r="F170" s="63">
        <f>(D170+E170)*('28-FFU'!$D$22)</f>
        <v>0</v>
      </c>
      <c r="G170" s="63">
        <f t="shared" ref="G170:G177" si="21">SUM(D170:F170)</f>
        <v>0</v>
      </c>
      <c r="H170" s="475" t="s">
        <v>1175</v>
      </c>
      <c r="I170" s="14"/>
    </row>
    <row r="171" spans="1:9" ht="13">
      <c r="A171" s="498">
        <f t="shared" si="20"/>
        <v>103</v>
      </c>
      <c r="C171" s="474" t="s">
        <v>1255</v>
      </c>
      <c r="D171" s="63">
        <f t="shared" si="18"/>
        <v>544208.61589226208</v>
      </c>
      <c r="E171" s="63">
        <f t="shared" si="19"/>
        <v>2095.284419103305</v>
      </c>
      <c r="F171" s="63">
        <f>(D171+E171)*('28-FFU'!$D$22)</f>
        <v>5052.2610098519999</v>
      </c>
      <c r="G171" s="63">
        <f t="shared" si="21"/>
        <v>551356.16132121743</v>
      </c>
      <c r="H171" s="475" t="s">
        <v>1175</v>
      </c>
      <c r="I171" s="14"/>
    </row>
    <row r="172" spans="1:9" ht="13">
      <c r="A172" s="498">
        <f t="shared" si="20"/>
        <v>104</v>
      </c>
      <c r="C172" s="474" t="s">
        <v>1256</v>
      </c>
      <c r="D172" s="63">
        <f t="shared" si="18"/>
        <v>45620867.657835484</v>
      </c>
      <c r="E172" s="63">
        <f t="shared" si="19"/>
        <v>-40851532.97669962</v>
      </c>
      <c r="F172" s="63">
        <f>(D172+E172)*('28-FFU'!$D$22)</f>
        <v>44107.178511272199</v>
      </c>
      <c r="G172" s="63">
        <f t="shared" si="21"/>
        <v>4813441.8596471353</v>
      </c>
      <c r="H172" s="475" t="s">
        <v>1175</v>
      </c>
      <c r="I172" s="14"/>
    </row>
    <row r="173" spans="1:9" ht="13">
      <c r="A173" s="498">
        <f t="shared" si="20"/>
        <v>105</v>
      </c>
      <c r="C173" s="92" t="s">
        <v>1252</v>
      </c>
      <c r="D173" s="63">
        <f t="shared" si="18"/>
        <v>0</v>
      </c>
      <c r="E173" s="63">
        <f t="shared" si="19"/>
        <v>0</v>
      </c>
      <c r="F173" s="63">
        <f>(D173+E173)*('28-FFU'!$D$22)</f>
        <v>0</v>
      </c>
      <c r="G173" s="63">
        <f t="shared" si="21"/>
        <v>0</v>
      </c>
      <c r="H173" s="475" t="s">
        <v>1175</v>
      </c>
      <c r="I173" s="14"/>
    </row>
    <row r="174" spans="1:9" ht="13">
      <c r="A174" s="498">
        <f t="shared" si="20"/>
        <v>106</v>
      </c>
      <c r="C174" s="92" t="s">
        <v>1253</v>
      </c>
      <c r="D174" s="63">
        <f t="shared" si="18"/>
        <v>0</v>
      </c>
      <c r="E174" s="63">
        <f t="shared" si="19"/>
        <v>0</v>
      </c>
      <c r="F174" s="63">
        <f>(D174+E174)*('28-FFU'!$D$22)</f>
        <v>0</v>
      </c>
      <c r="G174" s="63">
        <f t="shared" si="21"/>
        <v>0</v>
      </c>
      <c r="H174" s="475" t="s">
        <v>1175</v>
      </c>
      <c r="I174" s="14"/>
    </row>
    <row r="175" spans="1:9" ht="13">
      <c r="A175" s="498">
        <f t="shared" si="20"/>
        <v>107</v>
      </c>
      <c r="C175" s="92" t="s">
        <v>1254</v>
      </c>
      <c r="D175" s="63">
        <f t="shared" si="18"/>
        <v>29358.029885272226</v>
      </c>
      <c r="E175" s="63">
        <f t="shared" si="19"/>
        <v>463901.23135253461</v>
      </c>
      <c r="F175" s="63">
        <f>(D175+E175)*('28-FFU'!$D$22)</f>
        <v>4561.7000572022607</v>
      </c>
      <c r="G175" s="63">
        <f t="shared" si="21"/>
        <v>497820.96129500907</v>
      </c>
      <c r="H175" s="475" t="s">
        <v>1175</v>
      </c>
      <c r="I175" s="14"/>
    </row>
    <row r="176" spans="1:9" ht="13">
      <c r="A176" s="498">
        <f t="shared" si="20"/>
        <v>108</v>
      </c>
      <c r="C176" s="918" t="s">
        <v>2450</v>
      </c>
      <c r="D176" s="63">
        <f t="shared" si="18"/>
        <v>4858617.9113771059</v>
      </c>
      <c r="E176" s="63">
        <f t="shared" si="19"/>
        <v>4900283.3514490621</v>
      </c>
      <c r="F176" s="63">
        <f>(D176+E176)*('28-FFU'!$D$22)</f>
        <v>90251.078787962208</v>
      </c>
      <c r="G176" s="63">
        <f t="shared" si="21"/>
        <v>9849152.341614129</v>
      </c>
      <c r="H176" s="475" t="s">
        <v>1175</v>
      </c>
      <c r="I176" s="14"/>
    </row>
    <row r="177" spans="1:11" ht="13">
      <c r="A177" s="498">
        <f t="shared" si="20"/>
        <v>109</v>
      </c>
      <c r="C177" s="918" t="s">
        <v>2451</v>
      </c>
      <c r="D177" s="63">
        <f t="shared" si="18"/>
        <v>2144142.5945688183</v>
      </c>
      <c r="E177" s="63">
        <f t="shared" si="19"/>
        <v>81037.285078838002</v>
      </c>
      <c r="F177" s="63">
        <f>(D177+E177)*('28-FFU'!$D$22)</f>
        <v>20578.636798023126</v>
      </c>
      <c r="G177" s="63">
        <f t="shared" si="21"/>
        <v>2245758.5164456796</v>
      </c>
      <c r="H177" s="475" t="s">
        <v>1175</v>
      </c>
      <c r="I177" s="14"/>
    </row>
    <row r="178" spans="1:11" ht="13">
      <c r="A178" s="498">
        <f t="shared" si="20"/>
        <v>110</v>
      </c>
      <c r="C178" s="918" t="s">
        <v>2455</v>
      </c>
      <c r="D178" s="63">
        <f>D86+E86+F86</f>
        <v>9915259.1598231159</v>
      </c>
      <c r="E178" s="63">
        <f>D129</f>
        <v>-823772.66000409145</v>
      </c>
      <c r="F178" s="63">
        <f>(D178+E178)*('28-FFU'!$D$22)</f>
        <v>84078.775089199029</v>
      </c>
      <c r="G178" s="63">
        <f>SUM(D178:F178)</f>
        <v>9175565.2749082241</v>
      </c>
      <c r="H178" s="475" t="s">
        <v>1175</v>
      </c>
      <c r="I178" s="14"/>
    </row>
    <row r="179" spans="1:11" ht="13">
      <c r="A179" s="498">
        <f t="shared" si="20"/>
        <v>111</v>
      </c>
      <c r="C179" s="408"/>
      <c r="D179" s="1382" t="s">
        <v>76</v>
      </c>
      <c r="E179" s="1382" t="s">
        <v>76</v>
      </c>
      <c r="F179" s="1382" t="s">
        <v>76</v>
      </c>
      <c r="G179" s="1382" t="s">
        <v>76</v>
      </c>
      <c r="H179" s="475" t="s">
        <v>1175</v>
      </c>
      <c r="I179" s="14"/>
    </row>
    <row r="180" spans="1:11" ht="13">
      <c r="A180" s="498">
        <f t="shared" si="20"/>
        <v>112</v>
      </c>
      <c r="C180" s="92" t="s">
        <v>197</v>
      </c>
      <c r="D180" s="63">
        <f>SUM(D169:D179)</f>
        <v>63129050.419481874</v>
      </c>
      <c r="E180" s="63">
        <f>SUM(E169:E179)</f>
        <v>-36243355.494269505</v>
      </c>
      <c r="F180" s="63">
        <f>SUM(F169:F179)</f>
        <v>248641.00021253381</v>
      </c>
      <c r="G180" s="63">
        <f>SUM(G169:G179)</f>
        <v>27134335.925424904</v>
      </c>
      <c r="H180" s="14"/>
      <c r="I180" s="14"/>
    </row>
    <row r="181" spans="1:11">
      <c r="D181" s="14"/>
      <c r="E181" s="14"/>
      <c r="F181" s="14"/>
      <c r="G181" s="14"/>
      <c r="H181" s="14"/>
      <c r="I181" s="14"/>
    </row>
    <row r="182" spans="1:11" ht="13">
      <c r="B182" s="1" t="s">
        <v>230</v>
      </c>
      <c r="D182" s="14"/>
      <c r="E182" s="14"/>
      <c r="F182" s="14"/>
      <c r="G182" s="14"/>
      <c r="H182" s="14"/>
      <c r="I182" s="14"/>
    </row>
    <row r="183" spans="1:11">
      <c r="B183" s="108" t="str">
        <f>"1) (Sum Lines "&amp;A64&amp;" to "&amp;A67&amp;") * (FF + U Factors from 28-FFU) for Prior Year TRR"</f>
        <v>1) (Sum Lines 33 to 36) * (FF + U Factors from 28-FFU) for Prior Year TRR</v>
      </c>
      <c r="C183" s="14"/>
      <c r="D183" s="14"/>
      <c r="E183" s="14"/>
      <c r="F183" s="14"/>
      <c r="G183" s="14"/>
      <c r="H183" s="14"/>
      <c r="I183" s="14"/>
      <c r="J183" s="14"/>
      <c r="K183" s="14"/>
    </row>
    <row r="184" spans="1:11">
      <c r="B184" s="46" t="str">
        <f>"(Sum Lines "&amp;A65&amp;" to "&amp;A68&amp;") * (FF Factor from 28-FFU) for True Up TRR"</f>
        <v>(Sum Lines 34 to 37) * (FF Factor from 28-FFU) for True Up TRR</v>
      </c>
      <c r="C184" s="14"/>
      <c r="D184" s="14"/>
      <c r="E184" s="14"/>
      <c r="F184" s="14"/>
      <c r="G184" s="14"/>
      <c r="H184" s="14"/>
      <c r="I184" s="14"/>
      <c r="J184" s="14"/>
      <c r="K184" s="14"/>
    </row>
    <row r="185" spans="1:11">
      <c r="B185" s="15" t="str">
        <f>"2) Project Cost of capital is a fraction of total Cost of Capital on Line "&amp;A26&amp;" based on fraction of project CWIP Balances on Lines "&amp;A9&amp;" to "&amp;A20&amp;", Col 1."</f>
        <v>2) Project Cost of capital is a fraction of total Cost of Capital on Line 15 based on fraction of project CWIP Balances on Lines 1 to 12, Col 1.</v>
      </c>
      <c r="C185" s="14"/>
      <c r="D185" s="14"/>
      <c r="E185" s="14"/>
      <c r="F185" s="14"/>
      <c r="G185" s="14"/>
      <c r="H185" s="14"/>
      <c r="I185" s="14"/>
      <c r="J185" s="14"/>
      <c r="K185" s="14"/>
    </row>
    <row r="186" spans="1:11">
      <c r="B186" s="46" t="str">
        <f>"Project Income Taxes is a fraction of total Income on Line "&amp;A34&amp;" based on fraction of project CWIP Balances on Lines "&amp;A9&amp;" to "&amp;A20&amp;", Col 1."</f>
        <v>Project Income Taxes is a fraction of total Income on Line 19 based on fraction of project CWIP Balances on Lines 1 to 12, Col 1.</v>
      </c>
      <c r="C186" s="14"/>
      <c r="D186" s="14"/>
      <c r="E186" s="14"/>
      <c r="F186" s="14"/>
      <c r="G186" s="14"/>
      <c r="H186" s="14"/>
      <c r="I186" s="14"/>
      <c r="J186" s="14"/>
      <c r="K186" s="14"/>
    </row>
    <row r="187" spans="1:11">
      <c r="B187" s="112" t="str">
        <f>"ROE Adder is from Lines "&amp;A66&amp;" and "&amp;A67&amp;".  FF&amp;U Expenses are based on FF&amp;U Factors on 28-FFU."</f>
        <v>ROE Adder is from Lines 35 and 36.  FF&amp;U Expenses are based on FF&amp;U Factors on 28-FFU.</v>
      </c>
      <c r="C187" s="14"/>
      <c r="D187" s="14"/>
      <c r="E187" s="14"/>
      <c r="F187" s="14"/>
      <c r="G187" s="14"/>
      <c r="H187" s="14"/>
      <c r="I187" s="14"/>
      <c r="J187" s="14"/>
      <c r="K187" s="14"/>
    </row>
    <row r="188" spans="1:11">
      <c r="B188" s="15" t="str">
        <f>"3) Project Cost of capital is a fraction of total Cost of Capital on Line "&amp;A26&amp;" based on fraction of project CWIP Balances on Lines "&amp;A9&amp;" to "&amp;A20&amp;", Col 2."</f>
        <v>3) Project Cost of capital is a fraction of total Cost of Capital on Line 15 based on fraction of project CWIP Balances on Lines 1 to 12, Col 2.</v>
      </c>
      <c r="C188" s="14"/>
      <c r="D188" s="14"/>
      <c r="E188" s="14"/>
      <c r="F188" s="14"/>
      <c r="G188" s="14"/>
      <c r="H188" s="14"/>
      <c r="I188" s="14"/>
      <c r="J188" s="14"/>
      <c r="K188" s="14"/>
    </row>
    <row r="189" spans="1:11">
      <c r="B189" s="46" t="str">
        <f>"Project Income Taxes is a fraction of total Income on Line "&amp;A34&amp;" based on fraction of project CWIP Balances on Lines "&amp;A9&amp;" to "&amp;A20&amp;", Col 2."</f>
        <v>Project Income Taxes is a fraction of total Income on Line 19 based on fraction of project CWIP Balances on Lines 1 to 12, Col 2.</v>
      </c>
      <c r="C189" s="14"/>
      <c r="D189" s="14"/>
      <c r="E189" s="14"/>
      <c r="F189" s="14"/>
      <c r="G189" s="14"/>
      <c r="H189" s="14"/>
      <c r="I189" s="14"/>
      <c r="J189" s="14"/>
      <c r="K189" s="14"/>
    </row>
    <row r="190" spans="1:11">
      <c r="B190" s="112" t="str">
        <f>"ROE Adder is from Lines "&amp;A66&amp;" and "&amp;A67&amp;".  FF&amp;U Expenses are based on FF&amp;U Factors on 28-FFU."</f>
        <v>ROE Adder is from Lines 35 and 36.  FF&amp;U Expenses are based on FF&amp;U Factors on 28-FFU.</v>
      </c>
      <c r="C190" s="14"/>
      <c r="D190" s="14"/>
      <c r="E190" s="14"/>
      <c r="F190" s="14"/>
      <c r="G190" s="14"/>
      <c r="H190" s="14"/>
      <c r="I190" s="14"/>
      <c r="J190" s="14"/>
      <c r="K190" s="14"/>
    </row>
    <row r="191" spans="1:11">
      <c r="B191" s="15" t="str">
        <f>"4) Project contribution to total IFPTRR is based on fraction of Forecast Period CWIP Balances on Lines "&amp;A9&amp;" to "&amp;A20&amp;", Col 3."</f>
        <v>4) Project contribution to total IFPTRR is based on fraction of Forecast Period CWIP Balances on Lines 1 to 12, Col 3.</v>
      </c>
      <c r="C191" s="14"/>
      <c r="D191" s="14"/>
      <c r="E191" s="14"/>
      <c r="F191" s="14"/>
      <c r="G191" s="14"/>
      <c r="H191" s="14"/>
      <c r="I191" s="14"/>
      <c r="J191" s="14"/>
      <c r="K191" s="14"/>
    </row>
    <row r="192" spans="1:11">
      <c r="B192" s="15" t="str">
        <f>"5) Column 1 is from Lines "&amp;A77&amp;" to "&amp;A87&amp;", Sum of Column 1-3 (no FF&amp;U)."</f>
        <v>5) Column 1 is from Lines 39 to 49, Sum of Column 1-3 (no FF&amp;U).</v>
      </c>
      <c r="C192" s="14"/>
      <c r="D192" s="14"/>
      <c r="E192" s="14"/>
      <c r="F192" s="14"/>
      <c r="G192" s="14"/>
      <c r="H192" s="14"/>
      <c r="I192" s="14"/>
      <c r="J192" s="14"/>
      <c r="K192" s="14"/>
    </row>
    <row r="193" spans="2:11">
      <c r="B193" s="46" t="str">
        <f>"Column 2 is from Lines "&amp;A120&amp;" to "&amp;A130&amp;" (no FF&amp;U)."</f>
        <v>Column 2 is from Lines 68 to 78 (no FF&amp;U).</v>
      </c>
      <c r="C193" s="14"/>
      <c r="D193" s="14"/>
      <c r="E193" s="14"/>
      <c r="F193" s="14"/>
      <c r="G193" s="14"/>
      <c r="H193" s="14"/>
      <c r="I193" s="14"/>
      <c r="J193" s="14"/>
      <c r="K193" s="14"/>
    </row>
    <row r="194" spans="2:11">
      <c r="B194" s="475" t="str">
        <f>"Column 3 is the product of (C1 + C2) and the sum of FF and U factors (28-FFU, L"&amp;'28-FFU'!A22&amp;")"</f>
        <v>Column 3 is the product of (C1 + C2) and the sum of FF and U factors (28-FFU, L5)</v>
      </c>
      <c r="C194" s="14"/>
      <c r="D194" s="14"/>
      <c r="E194" s="14"/>
      <c r="F194" s="14"/>
      <c r="G194" s="14"/>
      <c r="H194" s="14"/>
      <c r="I194" s="14"/>
      <c r="J194" s="14"/>
      <c r="K194" s="14"/>
    </row>
    <row r="195" spans="2:11">
      <c r="B195" s="476" t="s">
        <v>1474</v>
      </c>
    </row>
  </sheetData>
  <pageMargins left="0.7" right="0.7" top="0.75" bottom="0.75" header="0.3" footer="0.3"/>
  <pageSetup scale="70" orientation="portrait" cellComments="asDisplayed" r:id="rId1"/>
  <headerFooter>
    <oddHeader>&amp;CSchedule 24
CWIP TRR
&amp;RTO2021 Annual Update
Attachment 5
TO2018 True Up TRR</oddHeader>
    <oddFooter>&amp;R24-CWIPTRR</oddFooter>
  </headerFooter>
  <rowBreaks count="2" manualBreakCount="2">
    <brk id="70"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53"/>
  <sheetViews>
    <sheetView zoomScaleNormal="100" zoomScalePageLayoutView="90" workbookViewId="0"/>
  </sheetViews>
  <sheetFormatPr defaultRowHeight="12.5"/>
  <cols>
    <col min="1" max="1" width="4.54296875" customWidth="1"/>
    <col min="6" max="6" width="11.54296875" customWidth="1"/>
    <col min="7" max="7" width="21.54296875" customWidth="1"/>
    <col min="8" max="8" width="15.54296875" customWidth="1"/>
    <col min="9" max="9" width="14.54296875" customWidth="1"/>
  </cols>
  <sheetData>
    <row r="1" spans="1:12" ht="13">
      <c r="A1" s="1" t="s">
        <v>1324</v>
      </c>
      <c r="B1" s="230"/>
      <c r="C1" s="230"/>
      <c r="D1" s="230"/>
      <c r="E1" s="230"/>
      <c r="F1" s="230"/>
      <c r="G1" s="230"/>
      <c r="H1" s="230"/>
      <c r="I1" s="230"/>
      <c r="J1" s="230"/>
      <c r="K1" s="230"/>
      <c r="L1" s="230"/>
    </row>
    <row r="2" spans="1:12" ht="13">
      <c r="A2" s="1"/>
      <c r="B2" s="230"/>
      <c r="C2" s="230"/>
      <c r="D2" s="230"/>
      <c r="E2" s="230"/>
      <c r="F2" s="230"/>
      <c r="G2" s="230"/>
      <c r="H2" s="451" t="s">
        <v>17</v>
      </c>
      <c r="I2" s="395"/>
      <c r="J2" s="230"/>
      <c r="K2" s="230"/>
      <c r="L2" s="230"/>
    </row>
    <row r="3" spans="1:12" ht="13">
      <c r="A3" s="1"/>
      <c r="B3" s="230" t="s">
        <v>1325</v>
      </c>
      <c r="C3" s="230"/>
      <c r="D3" s="230"/>
      <c r="E3" s="230"/>
      <c r="F3" s="230"/>
      <c r="G3" s="230"/>
      <c r="H3" s="239"/>
      <c r="I3" s="239"/>
      <c r="J3" s="230"/>
      <c r="K3" s="230"/>
      <c r="L3" s="230"/>
    </row>
    <row r="4" spans="1:12" ht="13">
      <c r="A4" s="1"/>
      <c r="B4" s="239" t="s">
        <v>1819</v>
      </c>
      <c r="C4" s="239"/>
      <c r="D4" s="239"/>
      <c r="E4" s="239"/>
      <c r="F4" s="239"/>
      <c r="G4" s="239"/>
      <c r="H4" s="239"/>
      <c r="I4" s="239"/>
      <c r="J4" s="230"/>
      <c r="K4" s="230"/>
      <c r="L4" s="230"/>
    </row>
    <row r="5" spans="1:12" ht="13">
      <c r="A5" s="1"/>
      <c r="B5" s="239" t="s">
        <v>1733</v>
      </c>
      <c r="C5" s="239"/>
      <c r="D5" s="239"/>
      <c r="E5" s="239"/>
      <c r="F5" s="239"/>
      <c r="G5" s="239"/>
      <c r="H5" s="239"/>
      <c r="I5" s="239"/>
      <c r="J5" s="230"/>
      <c r="K5" s="230"/>
      <c r="L5" s="230"/>
    </row>
    <row r="6" spans="1:12" ht="13">
      <c r="A6" s="1"/>
      <c r="B6" s="239"/>
      <c r="C6" s="239"/>
      <c r="D6" s="239"/>
      <c r="E6" s="239"/>
      <c r="F6" s="239"/>
      <c r="G6" s="239"/>
      <c r="H6" s="239"/>
      <c r="I6" s="239"/>
      <c r="J6" s="230"/>
      <c r="K6" s="230"/>
      <c r="L6" s="230"/>
    </row>
    <row r="7" spans="1:12" ht="13">
      <c r="A7" s="1"/>
      <c r="B7" s="239" t="s">
        <v>1820</v>
      </c>
      <c r="C7" s="239"/>
      <c r="D7" s="239"/>
      <c r="E7" s="239"/>
      <c r="F7" s="239"/>
      <c r="G7" s="239"/>
      <c r="H7" s="239"/>
      <c r="I7" s="239"/>
      <c r="J7" s="230"/>
      <c r="K7" s="230"/>
      <c r="L7" s="230"/>
    </row>
    <row r="8" spans="1:12" ht="13">
      <c r="A8" s="1"/>
      <c r="B8" s="239" t="s">
        <v>1326</v>
      </c>
      <c r="C8" s="239"/>
      <c r="D8" s="239"/>
      <c r="E8" s="239"/>
      <c r="F8" s="239"/>
      <c r="G8" s="239"/>
      <c r="H8" s="239"/>
      <c r="I8" s="239"/>
      <c r="J8" s="230"/>
      <c r="K8" s="230"/>
      <c r="L8" s="230"/>
    </row>
    <row r="9" spans="1:12" ht="13">
      <c r="A9" s="1"/>
      <c r="B9" s="239" t="s">
        <v>1327</v>
      </c>
      <c r="C9" s="239"/>
      <c r="D9" s="239"/>
      <c r="E9" s="239"/>
      <c r="F9" s="239"/>
      <c r="G9" s="239"/>
      <c r="H9" s="239"/>
      <c r="I9" s="239"/>
      <c r="J9" s="230"/>
      <c r="K9" s="230"/>
      <c r="L9" s="230"/>
    </row>
    <row r="10" spans="1:12" ht="13">
      <c r="A10" s="1"/>
      <c r="B10" s="239"/>
      <c r="C10" s="239"/>
      <c r="D10" s="239"/>
      <c r="E10" s="239"/>
      <c r="F10" s="239"/>
      <c r="G10" s="239"/>
      <c r="H10" s="452" t="s">
        <v>1328</v>
      </c>
      <c r="I10" s="239"/>
      <c r="J10" s="230"/>
      <c r="K10" s="230"/>
      <c r="L10" s="230"/>
    </row>
    <row r="11" spans="1:12" ht="14.5">
      <c r="A11" s="1"/>
      <c r="B11" s="239"/>
      <c r="C11" s="239"/>
      <c r="D11" s="239"/>
      <c r="E11" s="239"/>
      <c r="F11" s="239"/>
      <c r="G11" s="452" t="s">
        <v>173</v>
      </c>
      <c r="H11" s="986" t="s">
        <v>1329</v>
      </c>
      <c r="I11" s="452" t="s">
        <v>324</v>
      </c>
      <c r="J11" s="230"/>
      <c r="K11" s="230"/>
      <c r="L11" s="230"/>
    </row>
    <row r="12" spans="1:12" ht="13">
      <c r="A12" s="51" t="s">
        <v>330</v>
      </c>
      <c r="B12" s="239"/>
      <c r="C12" s="239"/>
      <c r="D12" s="239"/>
      <c r="E12" s="239"/>
      <c r="F12" s="239"/>
      <c r="G12" s="453" t="s">
        <v>288</v>
      </c>
      <c r="H12" s="453" t="s">
        <v>288</v>
      </c>
      <c r="I12" s="453" t="s">
        <v>1330</v>
      </c>
      <c r="J12" s="230"/>
      <c r="K12" s="230"/>
      <c r="L12" s="230"/>
    </row>
    <row r="13" spans="1:12" ht="13">
      <c r="A13" s="2">
        <v>1</v>
      </c>
      <c r="B13" s="239" t="s">
        <v>1331</v>
      </c>
      <c r="C13" s="239"/>
      <c r="D13" s="239"/>
      <c r="E13" s="239"/>
      <c r="F13" s="239"/>
      <c r="G13" s="454" t="s">
        <v>221</v>
      </c>
      <c r="H13" s="454" t="s">
        <v>221</v>
      </c>
      <c r="I13" s="915" t="s">
        <v>222</v>
      </c>
      <c r="J13" s="230"/>
      <c r="K13" s="230"/>
      <c r="L13" s="230"/>
    </row>
    <row r="14" spans="1:12" ht="13">
      <c r="A14" s="2">
        <f>A13+1</f>
        <v>2</v>
      </c>
      <c r="B14" s="239" t="s">
        <v>1332</v>
      </c>
      <c r="C14" s="239"/>
      <c r="D14" s="239"/>
      <c r="E14" s="239"/>
      <c r="F14" s="239"/>
      <c r="G14" s="454" t="s">
        <v>221</v>
      </c>
      <c r="H14" s="454" t="s">
        <v>221</v>
      </c>
      <c r="I14" s="454" t="s">
        <v>221</v>
      </c>
      <c r="J14" s="230"/>
      <c r="K14" s="230"/>
      <c r="L14" s="230"/>
    </row>
    <row r="15" spans="1:12" ht="13">
      <c r="A15" s="109">
        <f>A14+1</f>
        <v>3</v>
      </c>
      <c r="B15" s="239" t="s">
        <v>1506</v>
      </c>
      <c r="C15" s="239"/>
      <c r="D15" s="239"/>
      <c r="E15" s="239"/>
      <c r="F15" s="239"/>
      <c r="G15" s="454" t="s">
        <v>221</v>
      </c>
      <c r="H15" s="454" t="s">
        <v>221</v>
      </c>
      <c r="I15" s="454" t="s">
        <v>221</v>
      </c>
      <c r="J15" s="230"/>
      <c r="K15" s="230"/>
      <c r="L15" s="230"/>
    </row>
    <row r="16" spans="1:12" ht="13">
      <c r="A16" s="2">
        <f>A15+1</f>
        <v>4</v>
      </c>
      <c r="B16" s="239" t="s">
        <v>1333</v>
      </c>
      <c r="C16" s="239"/>
      <c r="D16" s="239"/>
      <c r="E16" s="239"/>
      <c r="F16" s="239"/>
      <c r="G16" s="454" t="s">
        <v>221</v>
      </c>
      <c r="H16" s="454" t="s">
        <v>221</v>
      </c>
      <c r="I16" s="454" t="s">
        <v>222</v>
      </c>
      <c r="J16" s="230"/>
      <c r="K16" s="230"/>
      <c r="L16" s="230"/>
    </row>
    <row r="17" spans="1:12" ht="13">
      <c r="A17" s="2">
        <f>A16+1</f>
        <v>5</v>
      </c>
      <c r="B17" s="239" t="s">
        <v>1334</v>
      </c>
      <c r="C17" s="239"/>
      <c r="D17" s="239"/>
      <c r="E17" s="239"/>
      <c r="F17" s="239"/>
      <c r="G17" s="454" t="s">
        <v>222</v>
      </c>
      <c r="H17" s="454" t="s">
        <v>221</v>
      </c>
      <c r="I17" s="454" t="s">
        <v>222</v>
      </c>
      <c r="J17" s="230"/>
      <c r="K17" s="230"/>
      <c r="L17" s="230"/>
    </row>
    <row r="18" spans="1:12" ht="13">
      <c r="A18" s="109">
        <f>A17+1</f>
        <v>6</v>
      </c>
      <c r="B18" s="239" t="s">
        <v>2288</v>
      </c>
      <c r="C18" s="239"/>
      <c r="D18" s="239"/>
      <c r="E18" s="239"/>
      <c r="F18" s="239"/>
      <c r="G18" s="454" t="s">
        <v>222</v>
      </c>
      <c r="H18" s="454" t="s">
        <v>221</v>
      </c>
      <c r="I18" s="454" t="s">
        <v>222</v>
      </c>
      <c r="J18" s="230"/>
      <c r="K18" s="230"/>
      <c r="L18" s="230"/>
    </row>
    <row r="19" spans="1:12">
      <c r="A19" s="230"/>
      <c r="B19" s="230"/>
      <c r="C19" s="455"/>
      <c r="D19" s="239"/>
      <c r="E19" s="239"/>
      <c r="F19" s="239"/>
      <c r="G19" s="230"/>
      <c r="H19" s="230"/>
      <c r="I19" s="230"/>
      <c r="J19" s="230"/>
      <c r="K19" s="230"/>
      <c r="L19" s="230"/>
    </row>
    <row r="20" spans="1:12" ht="13">
      <c r="A20" s="230"/>
      <c r="B20" s="394" t="s">
        <v>1335</v>
      </c>
      <c r="C20" s="374"/>
      <c r="D20" s="239"/>
      <c r="E20" s="239"/>
      <c r="F20" s="239"/>
      <c r="G20" s="230"/>
      <c r="H20" s="230"/>
      <c r="I20" s="230"/>
      <c r="J20" s="230"/>
      <c r="K20" s="230"/>
      <c r="L20" s="230"/>
    </row>
    <row r="21" spans="1:12" ht="13">
      <c r="A21" s="230"/>
      <c r="B21" s="394"/>
      <c r="C21" s="374"/>
      <c r="D21" s="239"/>
      <c r="E21" s="239"/>
      <c r="F21" s="239"/>
      <c r="G21" s="230"/>
      <c r="H21" s="230"/>
      <c r="I21" s="230"/>
      <c r="J21" s="230"/>
      <c r="K21" s="230"/>
      <c r="L21" s="230"/>
    </row>
    <row r="22" spans="1:12" ht="13">
      <c r="A22" s="230"/>
      <c r="B22" s="456" t="s">
        <v>1336</v>
      </c>
      <c r="C22" s="376"/>
      <c r="D22" s="239"/>
      <c r="E22" s="239"/>
      <c r="F22" s="239"/>
      <c r="G22" s="230"/>
      <c r="H22" s="230"/>
      <c r="I22" s="230"/>
      <c r="J22" s="230"/>
      <c r="K22" s="230"/>
      <c r="L22" s="230"/>
    </row>
    <row r="23" spans="1:12">
      <c r="A23" s="230"/>
      <c r="B23" s="245" t="s">
        <v>2298</v>
      </c>
      <c r="C23" s="376"/>
      <c r="D23" s="239"/>
      <c r="E23" s="239"/>
      <c r="F23" s="239"/>
      <c r="G23" s="230"/>
      <c r="H23" s="230"/>
      <c r="I23" s="230"/>
      <c r="J23" s="230"/>
      <c r="K23" s="230"/>
      <c r="L23" s="230"/>
    </row>
    <row r="24" spans="1:12">
      <c r="A24" s="230"/>
      <c r="B24" s="245" t="s">
        <v>1337</v>
      </c>
      <c r="C24" s="230"/>
      <c r="D24" s="230"/>
      <c r="E24" s="230"/>
      <c r="F24" s="230"/>
      <c r="G24" s="230"/>
      <c r="H24" s="230"/>
      <c r="I24" s="230"/>
      <c r="J24" s="230"/>
      <c r="K24" s="230"/>
      <c r="L24" s="230"/>
    </row>
    <row r="25" spans="1:12" ht="13">
      <c r="A25" s="230"/>
      <c r="B25" s="230"/>
      <c r="C25" s="230"/>
      <c r="D25" s="230"/>
      <c r="E25" s="230"/>
      <c r="F25" s="230"/>
      <c r="G25" s="230"/>
      <c r="H25" s="84" t="s">
        <v>359</v>
      </c>
      <c r="I25" s="84" t="s">
        <v>343</v>
      </c>
      <c r="J25" s="230"/>
      <c r="K25" s="230"/>
      <c r="L25" s="230"/>
    </row>
    <row r="26" spans="1:12" ht="13">
      <c r="A26" s="230"/>
      <c r="B26" s="230"/>
      <c r="C26" s="230"/>
      <c r="D26" s="230"/>
      <c r="E26" s="230"/>
      <c r="F26" s="230"/>
      <c r="G26" s="230"/>
      <c r="H26" s="457" t="s">
        <v>1338</v>
      </c>
      <c r="I26" s="230"/>
      <c r="J26" s="230"/>
      <c r="K26" s="230"/>
      <c r="L26" s="230"/>
    </row>
    <row r="27" spans="1:12" ht="13">
      <c r="A27" s="230"/>
      <c r="B27" s="230"/>
      <c r="C27" s="230"/>
      <c r="D27" s="230"/>
      <c r="E27" s="230"/>
      <c r="F27" s="230"/>
      <c r="G27" s="230"/>
      <c r="H27" s="457" t="s">
        <v>288</v>
      </c>
      <c r="I27" s="233" t="s">
        <v>1339</v>
      </c>
      <c r="J27" s="230"/>
      <c r="K27" s="230"/>
      <c r="L27" s="230"/>
    </row>
    <row r="28" spans="1:12" ht="13">
      <c r="A28" s="230"/>
      <c r="B28" s="230"/>
      <c r="C28" s="230"/>
      <c r="D28" s="230"/>
      <c r="E28" s="230"/>
      <c r="F28" s="230"/>
      <c r="G28" s="26" t="s">
        <v>194</v>
      </c>
      <c r="H28" s="233" t="s">
        <v>1340</v>
      </c>
      <c r="I28" s="233" t="s">
        <v>1341</v>
      </c>
      <c r="J28" s="230"/>
      <c r="K28" s="230"/>
      <c r="L28" s="230"/>
    </row>
    <row r="29" spans="1:12" ht="14.5">
      <c r="A29" s="51"/>
      <c r="B29" s="230"/>
      <c r="C29" s="230"/>
      <c r="D29" s="230"/>
      <c r="E29" s="230"/>
      <c r="F29" s="230"/>
      <c r="G29" s="25" t="s">
        <v>179</v>
      </c>
      <c r="H29" s="458" t="s">
        <v>1342</v>
      </c>
      <c r="I29" s="242" t="s">
        <v>1329</v>
      </c>
      <c r="J29" s="367"/>
      <c r="K29" s="230"/>
      <c r="L29" s="230"/>
    </row>
    <row r="30" spans="1:12" ht="13">
      <c r="A30" s="109">
        <f>A18+1</f>
        <v>7</v>
      </c>
      <c r="B30" s="239"/>
      <c r="C30" s="239" t="s">
        <v>1343</v>
      </c>
      <c r="D30" s="239"/>
      <c r="E30" s="239"/>
      <c r="F30" s="239"/>
      <c r="G30" s="46" t="s">
        <v>1344</v>
      </c>
      <c r="H30" s="234">
        <v>31556000</v>
      </c>
      <c r="I30" s="232">
        <v>-2176300</v>
      </c>
      <c r="J30" s="230"/>
      <c r="K30" s="230"/>
      <c r="L30" s="230"/>
    </row>
    <row r="31" spans="1:12" ht="13">
      <c r="A31" s="109">
        <f>A30+1</f>
        <v>8</v>
      </c>
      <c r="B31" s="239"/>
      <c r="C31" s="239" t="s">
        <v>1345</v>
      </c>
      <c r="D31" s="239"/>
      <c r="E31" s="239"/>
      <c r="F31" s="239"/>
      <c r="G31" s="46" t="s">
        <v>1344</v>
      </c>
      <c r="H31" s="232">
        <v>-35044000</v>
      </c>
      <c r="I31" s="232">
        <v>2503000</v>
      </c>
      <c r="J31" s="230"/>
      <c r="K31" s="230"/>
      <c r="L31" s="230"/>
    </row>
    <row r="32" spans="1:12" ht="13">
      <c r="A32" s="109">
        <f>A31+1</f>
        <v>9</v>
      </c>
      <c r="B32" s="239"/>
      <c r="C32" s="239" t="s">
        <v>1507</v>
      </c>
      <c r="D32" s="239"/>
      <c r="E32" s="239"/>
      <c r="F32" s="239"/>
      <c r="G32" s="46" t="s">
        <v>1344</v>
      </c>
      <c r="H32" s="234">
        <v>-624650</v>
      </c>
      <c r="I32" s="234">
        <v>43100</v>
      </c>
      <c r="J32" s="230"/>
      <c r="K32" s="230"/>
      <c r="L32" s="230"/>
    </row>
    <row r="33" spans="1:12" ht="13">
      <c r="A33" s="109">
        <f>A32+1</f>
        <v>10</v>
      </c>
      <c r="B33" s="239"/>
      <c r="C33" s="239" t="s">
        <v>1346</v>
      </c>
      <c r="D33" s="239"/>
      <c r="E33" s="239"/>
      <c r="F33" s="239"/>
      <c r="G33" s="46" t="s">
        <v>1344</v>
      </c>
      <c r="H33" s="366">
        <v>-7410000</v>
      </c>
      <c r="I33" s="459">
        <v>511200</v>
      </c>
      <c r="J33" s="230"/>
      <c r="K33" s="230"/>
      <c r="L33" s="230"/>
    </row>
    <row r="34" spans="1:12" ht="13">
      <c r="A34" s="109">
        <f>A33+1</f>
        <v>11</v>
      </c>
      <c r="B34" s="239"/>
      <c r="C34" s="239"/>
      <c r="D34" s="239"/>
      <c r="E34" s="239"/>
      <c r="F34" s="14"/>
      <c r="G34" s="935" t="s">
        <v>197</v>
      </c>
      <c r="H34" s="232">
        <f>SUM(H30:H33)</f>
        <v>-11522650</v>
      </c>
      <c r="I34" s="232">
        <f>SUM(I30:I33)</f>
        <v>881000</v>
      </c>
      <c r="J34" s="230"/>
      <c r="K34" s="230"/>
      <c r="L34" s="230"/>
    </row>
    <row r="35" spans="1:12" ht="13">
      <c r="A35" s="109"/>
      <c r="B35" s="239"/>
      <c r="C35" s="239"/>
      <c r="D35" s="239"/>
      <c r="E35" s="239"/>
      <c r="F35" s="14"/>
      <c r="G35" s="935"/>
      <c r="H35" s="232"/>
      <c r="I35" s="232"/>
      <c r="J35" s="230"/>
      <c r="K35" s="230"/>
      <c r="L35" s="230"/>
    </row>
    <row r="36" spans="1:12" ht="13">
      <c r="A36" s="109"/>
      <c r="B36" s="987" t="s">
        <v>1347</v>
      </c>
      <c r="C36" s="239"/>
      <c r="D36" s="239"/>
      <c r="E36" s="239"/>
      <c r="F36" s="14"/>
      <c r="G36" s="935"/>
      <c r="H36" s="232"/>
      <c r="I36" s="232"/>
      <c r="J36" s="230"/>
      <c r="K36" s="230"/>
      <c r="L36" s="230"/>
    </row>
    <row r="37" spans="1:12" ht="13">
      <c r="A37" s="109"/>
      <c r="B37" s="464" t="s">
        <v>1624</v>
      </c>
      <c r="C37" s="239"/>
      <c r="D37" s="239"/>
      <c r="E37" s="239"/>
      <c r="F37" s="14"/>
      <c r="G37" s="935"/>
      <c r="H37" s="232"/>
      <c r="I37" s="232"/>
      <c r="J37" s="230"/>
      <c r="K37" s="230"/>
      <c r="L37" s="230"/>
    </row>
    <row r="38" spans="1:12" ht="13">
      <c r="A38" s="109"/>
      <c r="B38" s="464" t="s">
        <v>1348</v>
      </c>
      <c r="C38" s="239"/>
      <c r="D38" s="239"/>
      <c r="E38" s="239"/>
      <c r="F38" s="14"/>
      <c r="G38" s="935"/>
      <c r="H38" s="232"/>
      <c r="I38" s="232"/>
      <c r="J38" s="230"/>
      <c r="K38" s="230"/>
      <c r="L38" s="230"/>
    </row>
    <row r="39" spans="1:12" ht="13">
      <c r="A39" s="452"/>
      <c r="B39" s="239"/>
      <c r="C39" s="239"/>
      <c r="D39" s="239"/>
      <c r="E39" s="239"/>
      <c r="F39" s="239"/>
      <c r="G39" s="423" t="s">
        <v>194</v>
      </c>
      <c r="H39" s="230"/>
      <c r="I39" s="230"/>
      <c r="J39" s="230"/>
      <c r="K39" s="230"/>
      <c r="L39" s="230"/>
    </row>
    <row r="40" spans="1:12" ht="13">
      <c r="A40" s="452"/>
      <c r="B40" s="988"/>
      <c r="C40" s="374"/>
      <c r="D40" s="239"/>
      <c r="E40" s="239"/>
      <c r="F40" s="239"/>
      <c r="G40" s="29" t="s">
        <v>179</v>
      </c>
      <c r="H40" s="3" t="s">
        <v>171</v>
      </c>
      <c r="I40" s="461" t="s">
        <v>1349</v>
      </c>
      <c r="J40" s="230"/>
      <c r="K40" s="230"/>
      <c r="L40" s="230"/>
    </row>
    <row r="41" spans="1:12" ht="13">
      <c r="A41" s="109">
        <f>A34+1</f>
        <v>12</v>
      </c>
      <c r="B41" s="464" t="s">
        <v>1350</v>
      </c>
      <c r="C41" s="239"/>
      <c r="D41" s="239"/>
      <c r="E41" s="239"/>
      <c r="F41" s="239"/>
      <c r="G41" s="464" t="str">
        <f>"2-IFPTRR Line "&amp;'2-IFPTRR'!A25&amp;""</f>
        <v>2-IFPTRR Line 16</v>
      </c>
      <c r="H41" s="240">
        <f>'2-IFPTRR'!D25</f>
        <v>9.7455089260618841E-2</v>
      </c>
      <c r="I41" s="247">
        <v>1</v>
      </c>
      <c r="J41" s="230"/>
      <c r="K41" s="230"/>
      <c r="L41" s="230"/>
    </row>
    <row r="42" spans="1:12" ht="13">
      <c r="A42" s="109">
        <f>A41+1</f>
        <v>13</v>
      </c>
      <c r="B42" s="464" t="s">
        <v>63</v>
      </c>
      <c r="C42" s="239"/>
      <c r="D42" s="239"/>
      <c r="E42" s="239"/>
      <c r="F42" s="239"/>
      <c r="G42" s="464"/>
      <c r="H42" s="462">
        <v>2019</v>
      </c>
      <c r="I42" s="247">
        <v>2</v>
      </c>
      <c r="J42" s="230"/>
      <c r="K42" s="230"/>
      <c r="L42" s="230"/>
    </row>
    <row r="43" spans="1:12" ht="13">
      <c r="A43" s="109">
        <f>A42+1</f>
        <v>14</v>
      </c>
      <c r="B43" s="464" t="s">
        <v>1351</v>
      </c>
      <c r="C43" s="239"/>
      <c r="D43" s="239"/>
      <c r="E43" s="239"/>
      <c r="F43" s="239"/>
      <c r="G43" s="234"/>
      <c r="H43" s="232">
        <f>H34+ (I34*(H42-2010))</f>
        <v>-3593650</v>
      </c>
      <c r="I43" s="247">
        <v>3</v>
      </c>
      <c r="J43" s="230"/>
      <c r="K43" s="230"/>
      <c r="L43" s="230"/>
    </row>
    <row r="44" spans="1:12" ht="13">
      <c r="A44" s="109">
        <f>A43+1</f>
        <v>15</v>
      </c>
      <c r="B44" s="464" t="s">
        <v>1352</v>
      </c>
      <c r="C44" s="374"/>
      <c r="D44" s="239"/>
      <c r="E44" s="239"/>
      <c r="F44" s="239"/>
      <c r="G44" s="46" t="str">
        <f>"Line "&amp;A43&amp;" * Line "&amp;A41&amp;""</f>
        <v>Line 14 * Line 12</v>
      </c>
      <c r="H44" s="234">
        <f xml:space="preserve"> H43*H41</f>
        <v>-350219.48152142292</v>
      </c>
      <c r="I44" s="230"/>
      <c r="J44" s="230"/>
      <c r="K44" s="230"/>
      <c r="L44" s="230"/>
    </row>
    <row r="45" spans="1:12">
      <c r="A45" s="14"/>
      <c r="B45" s="14"/>
      <c r="C45" s="14"/>
      <c r="D45" s="14"/>
      <c r="E45" s="14"/>
      <c r="F45" s="14"/>
      <c r="G45" s="14"/>
      <c r="L45" s="230"/>
    </row>
    <row r="46" spans="1:12" ht="13">
      <c r="B46" s="394" t="s">
        <v>1512</v>
      </c>
      <c r="L46" s="230"/>
    </row>
    <row r="47" spans="1:12">
      <c r="L47" s="230"/>
    </row>
    <row r="48" spans="1:12">
      <c r="B48" s="230" t="str">
        <f>"The annual Wholesale Expense Difference impact is the negative of amounts stated in Lines "&amp;A30&amp;" to "&amp;A33&amp;" above, Column 2."</f>
        <v>The annual Wholesale Expense Difference impact is the negative of amounts stated in Lines 7 to 10 above, Column 2.</v>
      </c>
      <c r="L48" s="230"/>
    </row>
    <row r="49" spans="1:12">
      <c r="B49" s="230" t="s">
        <v>1379</v>
      </c>
      <c r="L49" s="230"/>
    </row>
    <row r="50" spans="1:12">
      <c r="A50" s="230"/>
      <c r="B50" s="230" t="s">
        <v>1625</v>
      </c>
      <c r="C50" s="230"/>
      <c r="D50" s="230"/>
      <c r="E50" s="230"/>
      <c r="F50" s="230"/>
      <c r="G50" s="230"/>
      <c r="H50" s="230"/>
      <c r="I50" s="230"/>
      <c r="J50" s="230"/>
      <c r="K50" s="230"/>
      <c r="L50" s="230"/>
    </row>
    <row r="52" spans="1:12" ht="13">
      <c r="A52" s="230"/>
      <c r="B52" s="70" t="s">
        <v>1353</v>
      </c>
      <c r="C52" s="230"/>
      <c r="D52" s="230"/>
      <c r="E52" s="230"/>
      <c r="F52" s="230"/>
      <c r="G52" s="230"/>
      <c r="H52" s="230"/>
      <c r="I52" s="230"/>
      <c r="J52" s="230"/>
      <c r="K52" s="230"/>
      <c r="L52" s="230"/>
    </row>
    <row r="53" spans="1:12" ht="13">
      <c r="A53" s="230"/>
      <c r="B53" s="230"/>
      <c r="C53" s="230"/>
      <c r="D53" s="230"/>
      <c r="E53" s="230"/>
      <c r="F53" s="230"/>
      <c r="G53" s="26"/>
      <c r="H53" s="230"/>
      <c r="I53" s="230"/>
      <c r="J53" s="230"/>
      <c r="K53" s="230"/>
      <c r="L53" s="230"/>
    </row>
    <row r="54" spans="1:12" ht="13">
      <c r="B54" s="230"/>
      <c r="C54" s="230"/>
      <c r="D54" s="230"/>
      <c r="E54" s="230"/>
      <c r="F54" s="230"/>
      <c r="G54" s="25" t="s">
        <v>179</v>
      </c>
      <c r="H54" s="3" t="s">
        <v>171</v>
      </c>
      <c r="I54" s="230"/>
      <c r="J54" s="367"/>
      <c r="K54" s="230"/>
      <c r="L54" s="230"/>
    </row>
    <row r="55" spans="1:12" ht="13">
      <c r="A55" s="109">
        <f>A44+1</f>
        <v>16</v>
      </c>
      <c r="B55" s="464" t="s">
        <v>1354</v>
      </c>
      <c r="C55" s="239"/>
      <c r="D55" s="239"/>
      <c r="E55" s="239"/>
      <c r="F55" s="239"/>
      <c r="G55" s="46" t="str">
        <f>"Line "&amp;A31&amp;""</f>
        <v>Line 8</v>
      </c>
      <c r="H55" s="232">
        <f>I31</f>
        <v>2503000</v>
      </c>
      <c r="I55" s="230"/>
      <c r="J55" s="230"/>
      <c r="K55" s="230"/>
      <c r="L55" s="230"/>
    </row>
    <row r="56" spans="1:12" ht="13">
      <c r="A56" s="109">
        <f>A55+1</f>
        <v>17</v>
      </c>
      <c r="B56" s="46" t="s">
        <v>290</v>
      </c>
      <c r="C56" s="239"/>
      <c r="D56" s="239"/>
      <c r="E56" s="239"/>
      <c r="F56" s="239"/>
      <c r="G56" s="464" t="str">
        <f>"1-BaseTRR L "&amp;'1-BaseTRR'!A102&amp;""</f>
        <v>1-BaseTRR L 59</v>
      </c>
      <c r="H56" s="391">
        <f>'1-BaseTRR'!K102</f>
        <v>0.27983599999999997</v>
      </c>
      <c r="I56" s="230"/>
      <c r="J56" s="230"/>
      <c r="K56" s="230"/>
      <c r="L56" s="230"/>
    </row>
    <row r="57" spans="1:12" ht="13">
      <c r="A57" s="109">
        <f>A56+1</f>
        <v>18</v>
      </c>
      <c r="B57" s="46" t="s">
        <v>1378</v>
      </c>
      <c r="C57" s="239"/>
      <c r="D57" s="239"/>
      <c r="E57" s="239"/>
      <c r="F57" s="239"/>
      <c r="G57" s="69" t="s">
        <v>289</v>
      </c>
      <c r="H57" s="463">
        <f>1/(1-H56)</f>
        <v>1.3885726029071155</v>
      </c>
      <c r="I57" s="230"/>
      <c r="J57" s="230"/>
      <c r="K57" s="230"/>
      <c r="L57" s="230"/>
    </row>
    <row r="58" spans="1:12" ht="13">
      <c r="A58" s="109">
        <f>A57+1</f>
        <v>19</v>
      </c>
      <c r="B58" s="46" t="s">
        <v>332</v>
      </c>
      <c r="C58" s="239"/>
      <c r="D58" s="239"/>
      <c r="E58" s="239"/>
      <c r="F58" s="239"/>
      <c r="G58" s="239"/>
      <c r="H58" s="230"/>
      <c r="I58" s="230"/>
      <c r="J58" s="230"/>
      <c r="K58" s="230"/>
      <c r="L58" s="230"/>
    </row>
    <row r="59" spans="1:12" ht="13">
      <c r="A59" s="109">
        <f>A58+1</f>
        <v>20</v>
      </c>
      <c r="B59" s="46" t="s">
        <v>331</v>
      </c>
      <c r="C59" s="239"/>
      <c r="D59" s="239"/>
      <c r="E59" s="239"/>
      <c r="F59" s="239"/>
      <c r="G59" s="46" t="str">
        <f>"- Line "&amp;A55&amp;" * Line "&amp;A57&amp;""</f>
        <v>- Line 16 * Line 18</v>
      </c>
      <c r="H59" s="232">
        <f>-H57*H55</f>
        <v>-3475597.2250765101</v>
      </c>
      <c r="I59" s="230"/>
      <c r="J59" s="230"/>
      <c r="K59" s="230"/>
      <c r="L59" s="230"/>
    </row>
    <row r="60" spans="1:12">
      <c r="A60" s="14"/>
      <c r="B60" s="14"/>
      <c r="C60" s="14"/>
      <c r="D60" s="14"/>
      <c r="E60" s="14"/>
      <c r="F60" s="14"/>
      <c r="G60" s="14"/>
    </row>
    <row r="61" spans="1:12" ht="13">
      <c r="A61" s="14"/>
      <c r="B61" s="989" t="s">
        <v>1509</v>
      </c>
      <c r="C61" s="14"/>
      <c r="D61" s="14"/>
      <c r="E61" s="14"/>
      <c r="F61" s="14"/>
      <c r="G61" s="14"/>
    </row>
    <row r="62" spans="1:12">
      <c r="A62" s="14"/>
      <c r="B62" s="14"/>
      <c r="C62" s="14"/>
      <c r="D62" s="14"/>
      <c r="E62" s="14"/>
      <c r="F62" s="14"/>
      <c r="G62" s="14"/>
    </row>
    <row r="63" spans="1:12" ht="13">
      <c r="A63" s="14"/>
      <c r="B63" s="14"/>
      <c r="C63" s="14"/>
      <c r="D63" s="14"/>
      <c r="E63" s="14"/>
      <c r="F63" s="14"/>
      <c r="G63" s="29" t="s">
        <v>179</v>
      </c>
      <c r="H63" s="3" t="s">
        <v>171</v>
      </c>
    </row>
    <row r="64" spans="1:12" ht="13">
      <c r="A64" s="109">
        <f>A59+1</f>
        <v>21</v>
      </c>
      <c r="B64" s="464" t="s">
        <v>1508</v>
      </c>
      <c r="C64" s="14"/>
      <c r="D64" s="14"/>
      <c r="E64" s="14"/>
      <c r="F64" s="14"/>
      <c r="G64" s="46" t="str">
        <f>"Line "&amp;A32&amp;""</f>
        <v>Line 9</v>
      </c>
      <c r="H64" s="7">
        <f>I32</f>
        <v>43100</v>
      </c>
    </row>
    <row r="65" spans="1:12" ht="13">
      <c r="A65" s="109">
        <f>A64+1</f>
        <v>22</v>
      </c>
      <c r="B65" s="46" t="s">
        <v>1378</v>
      </c>
      <c r="C65" s="239"/>
      <c r="D65" s="239"/>
      <c r="E65" s="239"/>
      <c r="F65" s="239"/>
      <c r="G65" s="46" t="str">
        <f>"Line "&amp;A57&amp;""</f>
        <v>Line 18</v>
      </c>
      <c r="H65" s="463">
        <f>H57</f>
        <v>1.3885726029071155</v>
      </c>
    </row>
    <row r="66" spans="1:12" ht="13">
      <c r="A66" s="109">
        <f>A65+1</f>
        <v>23</v>
      </c>
      <c r="B66" s="464" t="s">
        <v>1510</v>
      </c>
      <c r="C66" s="14"/>
      <c r="D66" s="14"/>
      <c r="E66" s="14"/>
      <c r="F66" s="14"/>
      <c r="G66" s="46" t="str">
        <f>"- Line "&amp;A64&amp;" * Line "&amp;A65&amp;""</f>
        <v>- Line 21 * Line 22</v>
      </c>
      <c r="H66" s="7">
        <f>-H64*H65</f>
        <v>-59847.479185296681</v>
      </c>
    </row>
    <row r="67" spans="1:12" ht="13">
      <c r="A67" s="109">
        <f t="shared" ref="A67:A74" si="0">A66+1</f>
        <v>24</v>
      </c>
      <c r="B67" s="464"/>
      <c r="C67" s="14"/>
      <c r="D67" s="14"/>
      <c r="E67" s="14"/>
      <c r="F67" s="14"/>
      <c r="G67" s="46"/>
      <c r="H67" s="7"/>
    </row>
    <row r="68" spans="1:12" ht="13">
      <c r="A68" s="109">
        <f t="shared" si="0"/>
        <v>25</v>
      </c>
      <c r="B68" s="989" t="s">
        <v>2289</v>
      </c>
      <c r="C68" s="14"/>
      <c r="D68" s="14"/>
      <c r="E68" s="14"/>
      <c r="F68" s="14"/>
      <c r="G68" s="46"/>
      <c r="H68" s="7"/>
    </row>
    <row r="69" spans="1:12" ht="13">
      <c r="A69" s="109">
        <f t="shared" si="0"/>
        <v>26</v>
      </c>
      <c r="B69" s="464"/>
      <c r="C69" s="14"/>
      <c r="D69" s="14"/>
      <c r="E69" s="14"/>
      <c r="F69" s="14"/>
      <c r="G69" s="29" t="s">
        <v>179</v>
      </c>
      <c r="H69" s="7"/>
      <c r="I69" s="558" t="s">
        <v>1349</v>
      </c>
    </row>
    <row r="70" spans="1:12" ht="13">
      <c r="A70" s="109">
        <f t="shared" si="0"/>
        <v>27</v>
      </c>
      <c r="B70" s="464" t="s">
        <v>2290</v>
      </c>
      <c r="C70" s="14"/>
      <c r="D70" s="14"/>
      <c r="E70" s="14"/>
      <c r="F70" s="14"/>
      <c r="G70" s="475" t="s">
        <v>33</v>
      </c>
      <c r="H70" s="1072">
        <v>0</v>
      </c>
      <c r="I70" s="475" t="s">
        <v>1174</v>
      </c>
    </row>
    <row r="71" spans="1:12" ht="13">
      <c r="A71" s="109">
        <f t="shared" si="0"/>
        <v>28</v>
      </c>
      <c r="B71" s="464" t="s">
        <v>2291</v>
      </c>
      <c r="C71" s="14"/>
      <c r="D71" s="14"/>
      <c r="E71" s="14"/>
      <c r="F71" s="14"/>
      <c r="G71" s="475" t="s">
        <v>33</v>
      </c>
      <c r="H71" s="1072">
        <v>55939</v>
      </c>
      <c r="I71" s="16" t="s">
        <v>1174</v>
      </c>
    </row>
    <row r="72" spans="1:12" ht="13">
      <c r="A72" s="109">
        <f t="shared" si="0"/>
        <v>29</v>
      </c>
      <c r="B72" s="464" t="s">
        <v>2292</v>
      </c>
      <c r="C72" s="14"/>
      <c r="D72" s="14"/>
      <c r="E72" s="14"/>
      <c r="F72" s="14"/>
      <c r="G72" s="925" t="str">
        <f>"Line "&amp;A70&amp;" + "&amp;A71&amp;""</f>
        <v>Line 27 + 28</v>
      </c>
      <c r="H72" s="990">
        <f>SUM(H70:H71)</f>
        <v>55939</v>
      </c>
    </row>
    <row r="73" spans="1:12" ht="13">
      <c r="A73" s="109">
        <f t="shared" si="0"/>
        <v>30</v>
      </c>
      <c r="B73" s="464" t="s">
        <v>93</v>
      </c>
      <c r="C73" s="14"/>
      <c r="D73" s="14"/>
      <c r="E73" s="14"/>
      <c r="F73" s="14"/>
      <c r="G73" s="464" t="str">
        <f>"27-Allocators, Line "&amp;'27-Allocators'!A10&amp;""</f>
        <v>27-Allocators, Line 5</v>
      </c>
      <c r="H73" s="49">
        <f>'27-Allocators'!G10</f>
        <v>6.5693761162178274E-2</v>
      </c>
    </row>
    <row r="74" spans="1:12" ht="13">
      <c r="A74" s="109">
        <f t="shared" si="0"/>
        <v>31</v>
      </c>
      <c r="B74" s="464" t="s">
        <v>2293</v>
      </c>
      <c r="C74" s="14"/>
      <c r="D74" s="14"/>
      <c r="E74" s="14"/>
      <c r="F74" s="14"/>
      <c r="G74" s="925" t="str">
        <f>"Line "&amp;A72&amp;" * "&amp;A73&amp;""</f>
        <v>Line 29 * 30</v>
      </c>
      <c r="H74" s="63">
        <f>H72*H73</f>
        <v>3674.8433056510903</v>
      </c>
    </row>
    <row r="76" spans="1:12" ht="13">
      <c r="A76" s="239"/>
      <c r="B76" s="987" t="s">
        <v>1821</v>
      </c>
      <c r="C76" s="239"/>
      <c r="D76" s="239"/>
      <c r="E76" s="239"/>
      <c r="F76" s="239"/>
      <c r="G76" s="239"/>
      <c r="H76" s="239"/>
      <c r="I76" s="461" t="s">
        <v>1349</v>
      </c>
      <c r="J76" s="230"/>
      <c r="K76" s="230"/>
      <c r="L76" s="230"/>
    </row>
    <row r="77" spans="1:12" ht="13">
      <c r="A77" s="109">
        <f>A74+1</f>
        <v>32</v>
      </c>
      <c r="B77" s="455" t="s">
        <v>1529</v>
      </c>
      <c r="C77" s="239"/>
      <c r="D77" s="239"/>
      <c r="E77" s="239"/>
      <c r="F77" s="239"/>
      <c r="G77" s="464" t="str">
        <f>" - Line "&amp;A30&amp;", Col. 2"</f>
        <v xml:space="preserve"> - Line 7, Col. 2</v>
      </c>
      <c r="H77" s="234">
        <f>-I30</f>
        <v>2176300</v>
      </c>
      <c r="I77" s="230"/>
      <c r="J77" s="230"/>
      <c r="K77" s="230"/>
      <c r="L77" s="230"/>
    </row>
    <row r="78" spans="1:12" ht="13">
      <c r="A78" s="109">
        <f t="shared" ref="A78:A83" si="1">A77+1</f>
        <v>33</v>
      </c>
      <c r="B78" s="455" t="s">
        <v>1345</v>
      </c>
      <c r="C78" s="239"/>
      <c r="D78" s="239"/>
      <c r="E78" s="239"/>
      <c r="F78" s="239"/>
      <c r="G78" s="464" t="str">
        <f>"Line "&amp;A59&amp;""</f>
        <v>Line 20</v>
      </c>
      <c r="H78" s="234">
        <f>H59</f>
        <v>-3475597.2250765101</v>
      </c>
      <c r="I78" s="230"/>
      <c r="J78" s="230"/>
      <c r="K78" s="230"/>
      <c r="L78" s="230"/>
    </row>
    <row r="79" spans="1:12" ht="13">
      <c r="A79" s="109">
        <f t="shared" si="1"/>
        <v>34</v>
      </c>
      <c r="B79" s="455" t="s">
        <v>1507</v>
      </c>
      <c r="C79" s="239"/>
      <c r="D79" s="239"/>
      <c r="E79" s="239"/>
      <c r="F79" s="239"/>
      <c r="G79" s="464" t="str">
        <f>"Line "&amp;A66&amp;""</f>
        <v>Line 23</v>
      </c>
      <c r="H79" s="234">
        <f>H66</f>
        <v>-59847.479185296681</v>
      </c>
      <c r="I79" s="230"/>
      <c r="J79" s="230"/>
      <c r="K79" s="230"/>
      <c r="L79" s="230"/>
    </row>
    <row r="80" spans="1:12" ht="13">
      <c r="A80" s="109">
        <f t="shared" si="1"/>
        <v>35</v>
      </c>
      <c r="B80" s="455" t="s">
        <v>1346</v>
      </c>
      <c r="C80" s="239"/>
      <c r="D80" s="239"/>
      <c r="E80" s="239"/>
      <c r="F80" s="239"/>
      <c r="G80" s="464" t="str">
        <f>"- Line "&amp;A33&amp;", Col. 2"</f>
        <v>- Line 10, Col. 2</v>
      </c>
      <c r="H80" s="234">
        <f>-I33</f>
        <v>-511200</v>
      </c>
      <c r="I80" s="230"/>
      <c r="J80" s="230"/>
      <c r="K80" s="230"/>
      <c r="L80" s="230"/>
    </row>
    <row r="81" spans="1:12" ht="13">
      <c r="A81" s="109">
        <f t="shared" si="1"/>
        <v>36</v>
      </c>
      <c r="B81" s="455" t="s">
        <v>2294</v>
      </c>
      <c r="C81" s="239"/>
      <c r="D81" s="239"/>
      <c r="E81" s="239"/>
      <c r="F81" s="239"/>
      <c r="G81" s="925" t="str">
        <f>" - Line "&amp;A74&amp;""</f>
        <v xml:space="preserve"> - Line 31</v>
      </c>
      <c r="H81" s="234">
        <f>-H74</f>
        <v>-3674.8433056510903</v>
      </c>
      <c r="I81" s="230"/>
      <c r="J81" s="230"/>
      <c r="K81" s="230"/>
      <c r="L81" s="230"/>
    </row>
    <row r="82" spans="1:12" s="1048" customFormat="1" ht="13">
      <c r="A82" s="109">
        <f t="shared" si="1"/>
        <v>37</v>
      </c>
      <c r="B82" s="921" t="s">
        <v>2295</v>
      </c>
      <c r="C82" s="239"/>
      <c r="D82" s="239"/>
      <c r="E82" s="239"/>
      <c r="F82" s="239"/>
      <c r="G82" s="925"/>
      <c r="H82" s="1089">
        <v>2335</v>
      </c>
      <c r="I82" s="245" t="s">
        <v>1175</v>
      </c>
      <c r="J82" s="230"/>
      <c r="K82" s="230"/>
      <c r="L82" s="230"/>
    </row>
    <row r="83" spans="1:12" ht="13">
      <c r="A83" s="109">
        <f t="shared" si="1"/>
        <v>38</v>
      </c>
      <c r="B83" s="239"/>
      <c r="C83" s="239"/>
      <c r="D83" s="239"/>
      <c r="E83" s="239"/>
      <c r="F83" s="239"/>
      <c r="G83" s="935" t="s">
        <v>1355</v>
      </c>
      <c r="H83" s="234">
        <f>SUM(H77:H82)</f>
        <v>-1871684.5475674579</v>
      </c>
      <c r="I83" s="230"/>
      <c r="J83" s="230"/>
      <c r="K83" s="230"/>
      <c r="L83" s="230"/>
    </row>
    <row r="84" spans="1:12">
      <c r="A84" s="239"/>
      <c r="B84" s="239"/>
      <c r="C84" s="239"/>
      <c r="D84" s="239"/>
      <c r="E84" s="239"/>
      <c r="F84" s="239"/>
      <c r="G84" s="239"/>
      <c r="H84" s="239"/>
      <c r="I84" s="230"/>
      <c r="J84" s="230"/>
      <c r="K84" s="230"/>
      <c r="L84" s="230"/>
    </row>
    <row r="85" spans="1:12" ht="13">
      <c r="A85" s="239"/>
      <c r="B85" s="991" t="s">
        <v>1356</v>
      </c>
      <c r="C85" s="239"/>
      <c r="D85" s="239"/>
      <c r="E85" s="239"/>
      <c r="F85" s="239"/>
      <c r="G85" s="239"/>
      <c r="H85" s="239"/>
      <c r="I85" s="230"/>
      <c r="J85" s="230"/>
      <c r="K85" s="230"/>
      <c r="L85" s="230"/>
    </row>
    <row r="86" spans="1:12" ht="13">
      <c r="A86" s="239"/>
      <c r="B86" s="14"/>
      <c r="C86" s="239"/>
      <c r="D86" s="239"/>
      <c r="E86" s="239"/>
      <c r="F86" s="239"/>
      <c r="G86" s="29" t="s">
        <v>179</v>
      </c>
      <c r="H86" s="123" t="s">
        <v>171</v>
      </c>
      <c r="I86" s="230"/>
      <c r="J86" s="230"/>
      <c r="K86" s="230"/>
      <c r="L86" s="230"/>
    </row>
    <row r="87" spans="1:12" ht="13">
      <c r="A87" s="109">
        <f>A83+1</f>
        <v>39</v>
      </c>
      <c r="B87" s="924" t="s">
        <v>1352</v>
      </c>
      <c r="C87" s="239"/>
      <c r="D87" s="239"/>
      <c r="E87" s="239"/>
      <c r="F87" s="239"/>
      <c r="G87" s="464" t="str">
        <f>"Line "&amp;A44&amp;""</f>
        <v>Line 15</v>
      </c>
      <c r="H87" s="234">
        <f>H44</f>
        <v>-350219.48152142292</v>
      </c>
      <c r="I87" s="230"/>
      <c r="J87" s="230"/>
      <c r="K87" s="230"/>
      <c r="L87" s="230"/>
    </row>
    <row r="88" spans="1:12" ht="13">
      <c r="A88" s="109">
        <f t="shared" ref="A88:A93" si="2">A87+1</f>
        <v>40</v>
      </c>
      <c r="B88" s="239" t="s">
        <v>1357</v>
      </c>
      <c r="C88" s="239"/>
      <c r="D88" s="239"/>
      <c r="E88" s="239"/>
      <c r="F88" s="239"/>
      <c r="G88" s="464" t="str">
        <f>"Line "&amp;A83&amp;""</f>
        <v>Line 38</v>
      </c>
      <c r="H88" s="234">
        <f>H83</f>
        <v>-1871684.5475674579</v>
      </c>
      <c r="I88" s="230"/>
      <c r="J88" s="230"/>
      <c r="K88" s="230"/>
      <c r="L88" s="230"/>
    </row>
    <row r="89" spans="1:12" ht="13">
      <c r="A89" s="109">
        <f t="shared" si="2"/>
        <v>41</v>
      </c>
      <c r="B89" s="15" t="s">
        <v>1439</v>
      </c>
      <c r="C89" s="239"/>
      <c r="D89" s="239"/>
      <c r="E89" s="239"/>
      <c r="F89" s="239"/>
      <c r="G89" s="464" t="str">
        <f>"- 1-Base TRR, L "&amp;'1-BaseTRR'!A140&amp;""</f>
        <v>- 1-Base TRR, L 80</v>
      </c>
      <c r="H89" s="234">
        <f>-'1-BaseTRR'!K140</f>
        <v>-2256532.557363655</v>
      </c>
      <c r="I89" s="230"/>
      <c r="J89" s="230"/>
      <c r="K89" s="230"/>
      <c r="L89" s="230"/>
    </row>
    <row r="90" spans="1:12" ht="13">
      <c r="A90" s="109">
        <f t="shared" si="2"/>
        <v>42</v>
      </c>
      <c r="B90" s="15" t="s">
        <v>1440</v>
      </c>
      <c r="C90" s="239"/>
      <c r="D90" s="239"/>
      <c r="E90" s="239"/>
      <c r="F90" s="239"/>
      <c r="G90" s="464" t="str">
        <f>"- 2-IFPTRR, L "&amp;'2-IFPTRR'!A89&amp;""</f>
        <v>- 2-IFPTRR, L 80</v>
      </c>
      <c r="H90" s="459">
        <f>-'2-IFPTRR'!D89</f>
        <v>-213319.48901649797</v>
      </c>
      <c r="I90" s="230"/>
      <c r="J90" s="230"/>
      <c r="K90" s="230"/>
      <c r="L90" s="230"/>
    </row>
    <row r="91" spans="1:12" ht="13">
      <c r="A91" s="109">
        <f t="shared" si="2"/>
        <v>43</v>
      </c>
      <c r="B91" s="15" t="s">
        <v>97</v>
      </c>
      <c r="C91" s="239"/>
      <c r="D91" s="239"/>
      <c r="E91" s="239"/>
      <c r="F91" s="239"/>
      <c r="G91" s="46" t="str">
        <f>"Sum Line "&amp;A87&amp;" to Line "&amp;A90&amp;""</f>
        <v>Sum Line 39 to Line 42</v>
      </c>
      <c r="H91" s="234">
        <f>SUM(H87:H90)</f>
        <v>-4691756.0754690338</v>
      </c>
      <c r="I91" s="230"/>
      <c r="J91" s="230"/>
      <c r="K91" s="230"/>
      <c r="L91" s="230"/>
    </row>
    <row r="92" spans="1:12" ht="13">
      <c r="A92" s="109">
        <f t="shared" si="2"/>
        <v>44</v>
      </c>
      <c r="B92" s="15" t="s">
        <v>1364</v>
      </c>
      <c r="C92" s="239"/>
      <c r="D92" s="239"/>
      <c r="E92" s="239"/>
      <c r="F92" s="239"/>
      <c r="G92" s="14"/>
      <c r="H92" s="459">
        <f>'28-FFU'!D22*SUM(H87+H88)</f>
        <v>-20548.341476970556</v>
      </c>
      <c r="I92" s="245" t="s">
        <v>1172</v>
      </c>
      <c r="J92" s="230"/>
      <c r="K92" s="230"/>
      <c r="L92" s="230"/>
    </row>
    <row r="93" spans="1:12" ht="13">
      <c r="A93" s="109">
        <f t="shared" si="2"/>
        <v>45</v>
      </c>
      <c r="B93" s="14" t="s">
        <v>1358</v>
      </c>
      <c r="C93" s="239"/>
      <c r="D93" s="239"/>
      <c r="E93" s="239"/>
      <c r="F93" s="239"/>
      <c r="G93" s="46" t="str">
        <f>"Line "&amp;A91&amp;" + Line "&amp;A92&amp;""</f>
        <v>Line 43 + Line 44</v>
      </c>
      <c r="H93" s="234">
        <f>H91+H92</f>
        <v>-4712304.4169460041</v>
      </c>
      <c r="I93" s="230"/>
      <c r="J93" s="230"/>
      <c r="K93" s="230"/>
      <c r="L93" s="230"/>
    </row>
    <row r="94" spans="1:12">
      <c r="A94" s="239"/>
      <c r="B94" s="14"/>
      <c r="C94" s="239"/>
      <c r="D94" s="239"/>
      <c r="E94" s="239"/>
      <c r="F94" s="239"/>
      <c r="G94" s="239"/>
      <c r="H94" s="239"/>
      <c r="I94" s="230"/>
      <c r="J94" s="230"/>
      <c r="K94" s="230"/>
      <c r="L94" s="230"/>
    </row>
    <row r="95" spans="1:12" ht="13">
      <c r="A95" s="239"/>
      <c r="B95" s="942" t="s">
        <v>1359</v>
      </c>
      <c r="C95" s="239"/>
      <c r="D95" s="239"/>
      <c r="E95" s="239"/>
      <c r="F95" s="239"/>
      <c r="G95" s="239"/>
      <c r="H95" s="239"/>
      <c r="I95" s="230"/>
      <c r="J95" s="230"/>
      <c r="K95" s="230"/>
      <c r="L95" s="230"/>
    </row>
    <row r="96" spans="1:12">
      <c r="A96" s="239"/>
      <c r="B96" s="239" t="s">
        <v>1360</v>
      </c>
      <c r="C96" s="239"/>
      <c r="D96" s="239"/>
      <c r="E96" s="239"/>
      <c r="F96" s="239"/>
      <c r="G96" s="239"/>
      <c r="H96" s="239"/>
      <c r="I96" s="230"/>
      <c r="J96" s="230"/>
      <c r="K96" s="230"/>
      <c r="L96" s="230"/>
    </row>
    <row r="97" spans="1:12">
      <c r="A97" s="239"/>
      <c r="B97" s="239" t="s">
        <v>1361</v>
      </c>
      <c r="C97" s="239"/>
      <c r="D97" s="239"/>
      <c r="E97" s="239"/>
      <c r="F97" s="239"/>
      <c r="G97" s="239"/>
      <c r="H97" s="239"/>
      <c r="I97" s="230"/>
      <c r="J97" s="230"/>
      <c r="K97" s="230"/>
      <c r="L97" s="230"/>
    </row>
    <row r="98" spans="1:12">
      <c r="A98" s="239"/>
      <c r="B98" s="239" t="str">
        <f>"2) Input Prior Year for this Informational Filing in Line "&amp;A42&amp;"."</f>
        <v>2) Input Prior Year for this Informational Filing in Line 13.</v>
      </c>
      <c r="C98" s="14"/>
      <c r="D98" s="14"/>
      <c r="E98" s="14"/>
      <c r="F98" s="14"/>
      <c r="G98" s="14"/>
      <c r="H98" s="14"/>
      <c r="I98" s="230"/>
      <c r="J98" s="230"/>
      <c r="K98" s="230"/>
      <c r="L98" s="230"/>
    </row>
    <row r="99" spans="1:12">
      <c r="A99" s="239"/>
      <c r="B99" s="239" t="str">
        <f>"3) Calculation: (Line "&amp;A34&amp;", "&amp;H25&amp;") + ((Line "&amp;A34&amp;", "&amp;I25&amp;") * (Line "&amp;A42&amp;" - 2010))."</f>
        <v>3) Calculation: (Line 11, Col 1) + ((Line 11, Col 2) * (Line 13 - 2010)).</v>
      </c>
      <c r="C99" s="14"/>
      <c r="D99" s="14"/>
      <c r="E99" s="14"/>
      <c r="F99" s="14"/>
      <c r="G99" s="14"/>
      <c r="H99" s="14"/>
      <c r="I99" s="230"/>
      <c r="J99" s="230"/>
      <c r="K99" s="230"/>
      <c r="L99" s="230"/>
    </row>
    <row r="100" spans="1:12">
      <c r="A100" s="239"/>
      <c r="B100" s="239" t="str">
        <f>"4) Franchise Fee Exclusion is equal to the Franchise Fee Factor on the 28-FFU Line "&amp;'28-FFU'!A22&amp;""</f>
        <v>4) Franchise Fee Exclusion is equal to the Franchise Fee Factor on the 28-FFU Line 5</v>
      </c>
      <c r="C100" s="239"/>
      <c r="D100" s="239"/>
      <c r="E100" s="239"/>
      <c r="F100" s="239"/>
      <c r="G100" s="239"/>
      <c r="H100" s="239"/>
      <c r="I100" s="230"/>
      <c r="J100" s="230"/>
      <c r="K100" s="230"/>
      <c r="L100" s="230"/>
    </row>
    <row r="101" spans="1:12">
      <c r="A101" s="230"/>
      <c r="B101" s="230" t="str">
        <f>"times Line "&amp;A87&amp;" + "&amp;A88&amp;"."</f>
        <v>times Line 39 + 40.</v>
      </c>
      <c r="C101" s="230"/>
      <c r="D101" s="230"/>
      <c r="E101" s="230"/>
      <c r="F101" s="230"/>
      <c r="G101" s="230"/>
      <c r="H101" s="230"/>
      <c r="I101" s="230"/>
      <c r="J101" s="230"/>
      <c r="K101" s="230"/>
      <c r="L101" s="230"/>
    </row>
    <row r="102" spans="1:12">
      <c r="A102" s="230"/>
      <c r="B102" s="239" t="s">
        <v>2182</v>
      </c>
      <c r="C102" s="239"/>
      <c r="D102" s="239"/>
      <c r="E102" s="239"/>
      <c r="F102" s="239"/>
      <c r="G102" s="230"/>
      <c r="H102" s="230"/>
      <c r="I102" s="230"/>
      <c r="J102" s="230"/>
      <c r="K102" s="230"/>
      <c r="L102" s="230"/>
    </row>
    <row r="103" spans="1:12">
      <c r="A103" s="230"/>
      <c r="B103" s="476" t="s">
        <v>2296</v>
      </c>
      <c r="C103" s="230"/>
      <c r="D103" s="230"/>
      <c r="E103" s="230"/>
      <c r="F103" s="230"/>
      <c r="G103" s="230"/>
      <c r="H103" s="230"/>
      <c r="I103" s="230"/>
      <c r="J103" s="230"/>
      <c r="K103" s="230"/>
      <c r="L103" s="230"/>
    </row>
    <row r="104" spans="1:12">
      <c r="A104" s="230"/>
      <c r="B104" s="230"/>
      <c r="C104" s="230"/>
      <c r="D104" s="230"/>
      <c r="E104" s="230"/>
      <c r="F104" s="230"/>
      <c r="G104" s="230"/>
      <c r="H104" s="230"/>
      <c r="I104" s="230"/>
      <c r="J104" s="230"/>
      <c r="K104" s="230"/>
      <c r="L104" s="230"/>
    </row>
    <row r="105" spans="1:12">
      <c r="A105" s="230"/>
      <c r="B105" s="230"/>
      <c r="C105" s="230"/>
      <c r="D105" s="230"/>
      <c r="E105" s="230"/>
      <c r="F105" s="230"/>
      <c r="G105" s="230"/>
      <c r="H105" s="230"/>
      <c r="I105" s="230"/>
      <c r="J105" s="230"/>
      <c r="K105" s="230"/>
      <c r="L105" s="230"/>
    </row>
    <row r="106" spans="1:12">
      <c r="A106" s="230"/>
      <c r="B106" s="230"/>
      <c r="C106" s="230"/>
      <c r="D106" s="230"/>
      <c r="E106" s="230"/>
      <c r="F106" s="230"/>
      <c r="G106" s="230"/>
      <c r="H106" s="230"/>
      <c r="I106" s="230"/>
      <c r="J106" s="230"/>
      <c r="K106" s="230"/>
      <c r="L106" s="230"/>
    </row>
    <row r="107" spans="1:12">
      <c r="A107" s="230"/>
      <c r="B107" s="230"/>
      <c r="C107" s="230"/>
      <c r="D107" s="230"/>
      <c r="E107" s="230"/>
      <c r="F107" s="230"/>
      <c r="G107" s="230"/>
      <c r="H107" s="230"/>
      <c r="I107" s="230"/>
      <c r="J107" s="230"/>
      <c r="K107" s="230"/>
      <c r="L107" s="230"/>
    </row>
    <row r="108" spans="1:12">
      <c r="A108" s="230"/>
      <c r="B108" s="230"/>
      <c r="C108" s="230"/>
      <c r="D108" s="230"/>
      <c r="E108" s="230"/>
      <c r="F108" s="230"/>
      <c r="G108" s="230"/>
      <c r="H108" s="230"/>
      <c r="I108" s="230"/>
      <c r="J108" s="230"/>
      <c r="K108" s="230"/>
      <c r="L108" s="230"/>
    </row>
    <row r="109" spans="1:12">
      <c r="A109" s="230"/>
      <c r="B109" s="230"/>
      <c r="C109" s="230"/>
      <c r="D109" s="230"/>
      <c r="E109" s="230"/>
      <c r="F109" s="230"/>
      <c r="G109" s="230"/>
      <c r="H109" s="230"/>
      <c r="I109" s="230"/>
      <c r="J109" s="230"/>
      <c r="K109" s="230"/>
      <c r="L109" s="230"/>
    </row>
    <row r="110" spans="1:12">
      <c r="A110" s="230"/>
      <c r="B110" s="230"/>
      <c r="C110" s="230"/>
      <c r="D110" s="230"/>
      <c r="E110" s="230"/>
      <c r="F110" s="230"/>
      <c r="G110" s="230"/>
      <c r="H110" s="230"/>
      <c r="I110" s="230"/>
      <c r="J110" s="230"/>
      <c r="K110" s="230"/>
      <c r="L110" s="230"/>
    </row>
    <row r="111" spans="1:12">
      <c r="A111" s="230"/>
      <c r="B111" s="230"/>
      <c r="C111" s="230"/>
      <c r="D111" s="230"/>
      <c r="E111" s="230"/>
      <c r="F111" s="230"/>
      <c r="G111" s="230"/>
      <c r="H111" s="230"/>
      <c r="I111" s="230"/>
      <c r="J111" s="230"/>
      <c r="K111" s="230"/>
      <c r="L111" s="230"/>
    </row>
    <row r="112" spans="1:12">
      <c r="A112" s="230"/>
      <c r="B112" s="230"/>
      <c r="C112" s="230"/>
      <c r="D112" s="230"/>
      <c r="E112" s="230"/>
      <c r="F112" s="230"/>
      <c r="G112" s="230"/>
      <c r="H112" s="230"/>
      <c r="I112" s="230"/>
      <c r="J112" s="230"/>
      <c r="K112" s="230"/>
      <c r="L112" s="230"/>
    </row>
    <row r="113" spans="1:12">
      <c r="A113" s="230"/>
      <c r="B113" s="230"/>
      <c r="C113" s="230"/>
      <c r="D113" s="230"/>
      <c r="E113" s="230"/>
      <c r="F113" s="230"/>
      <c r="G113" s="230"/>
      <c r="H113" s="230"/>
      <c r="I113" s="230"/>
      <c r="J113" s="230"/>
      <c r="K113" s="230"/>
      <c r="L113" s="230"/>
    </row>
    <row r="114" spans="1:12">
      <c r="A114" s="230"/>
      <c r="B114" s="230"/>
      <c r="C114" s="230"/>
      <c r="D114" s="230"/>
      <c r="E114" s="230"/>
      <c r="F114" s="230"/>
      <c r="G114" s="230"/>
      <c r="H114" s="230"/>
      <c r="I114" s="230"/>
      <c r="J114" s="230"/>
      <c r="K114" s="230"/>
      <c r="L114" s="230"/>
    </row>
    <row r="115" spans="1:12">
      <c r="A115" s="230"/>
      <c r="B115" s="230"/>
      <c r="C115" s="230"/>
      <c r="D115" s="230"/>
      <c r="E115" s="230"/>
      <c r="F115" s="230"/>
      <c r="G115" s="230"/>
      <c r="H115" s="230"/>
      <c r="I115" s="230"/>
      <c r="J115" s="230"/>
      <c r="K115" s="230"/>
      <c r="L115" s="230"/>
    </row>
    <row r="116" spans="1:12">
      <c r="A116" s="230"/>
      <c r="B116" s="230"/>
      <c r="C116" s="230"/>
      <c r="D116" s="230"/>
      <c r="E116" s="230"/>
      <c r="F116" s="230"/>
      <c r="G116" s="230"/>
      <c r="H116" s="230"/>
      <c r="I116" s="230"/>
      <c r="J116" s="230"/>
      <c r="K116" s="230"/>
      <c r="L116" s="230"/>
    </row>
    <row r="117" spans="1:12">
      <c r="A117" s="230"/>
      <c r="B117" s="230"/>
      <c r="C117" s="230"/>
      <c r="D117" s="230"/>
      <c r="E117" s="230"/>
      <c r="F117" s="230"/>
      <c r="G117" s="230"/>
      <c r="H117" s="230"/>
      <c r="I117" s="230"/>
      <c r="J117" s="230"/>
      <c r="K117" s="230"/>
      <c r="L117" s="230"/>
    </row>
    <row r="118" spans="1:12">
      <c r="A118" s="230"/>
      <c r="B118" s="230"/>
      <c r="C118" s="230"/>
      <c r="D118" s="230"/>
      <c r="E118" s="230"/>
      <c r="F118" s="230"/>
      <c r="G118" s="230"/>
      <c r="H118" s="230"/>
      <c r="I118" s="230"/>
      <c r="J118" s="230"/>
      <c r="K118" s="230"/>
      <c r="L118" s="230"/>
    </row>
    <row r="119" spans="1:12">
      <c r="A119" s="230"/>
      <c r="B119" s="230"/>
      <c r="C119" s="230"/>
      <c r="D119" s="230"/>
      <c r="E119" s="230"/>
      <c r="F119" s="230"/>
      <c r="G119" s="230"/>
      <c r="H119" s="230"/>
      <c r="I119" s="230"/>
      <c r="J119" s="230"/>
      <c r="K119" s="230"/>
      <c r="L119" s="230"/>
    </row>
    <row r="120" spans="1:12">
      <c r="A120" s="230"/>
      <c r="B120" s="230"/>
      <c r="C120" s="230"/>
      <c r="D120" s="230"/>
      <c r="E120" s="230"/>
      <c r="F120" s="230"/>
      <c r="G120" s="230"/>
      <c r="H120" s="230"/>
      <c r="I120" s="230"/>
      <c r="J120" s="230"/>
      <c r="K120" s="230"/>
      <c r="L120" s="230"/>
    </row>
    <row r="121" spans="1:12">
      <c r="A121" s="230"/>
      <c r="B121" s="230"/>
      <c r="C121" s="230"/>
      <c r="D121" s="230"/>
      <c r="E121" s="230"/>
      <c r="F121" s="230"/>
      <c r="G121" s="230"/>
      <c r="H121" s="230"/>
      <c r="I121" s="230"/>
      <c r="J121" s="230"/>
      <c r="K121" s="230"/>
      <c r="L121" s="230"/>
    </row>
    <row r="122" spans="1:12">
      <c r="A122" s="230"/>
      <c r="B122" s="230"/>
      <c r="C122" s="230"/>
      <c r="D122" s="230"/>
      <c r="E122" s="230"/>
      <c r="F122" s="230"/>
      <c r="G122" s="230"/>
      <c r="H122" s="230"/>
      <c r="I122" s="230"/>
      <c r="J122" s="230"/>
      <c r="K122" s="230"/>
      <c r="L122" s="230"/>
    </row>
    <row r="123" spans="1:12">
      <c r="A123" s="230"/>
      <c r="B123" s="230"/>
      <c r="C123" s="230"/>
      <c r="D123" s="230"/>
      <c r="E123" s="230"/>
      <c r="F123" s="230"/>
      <c r="G123" s="230"/>
      <c r="H123" s="230"/>
      <c r="I123" s="230"/>
      <c r="J123" s="230"/>
      <c r="K123" s="230"/>
      <c r="L123" s="230"/>
    </row>
    <row r="124" spans="1:12">
      <c r="A124" s="230"/>
      <c r="B124" s="230"/>
      <c r="C124" s="230"/>
      <c r="D124" s="230"/>
      <c r="E124" s="230"/>
      <c r="F124" s="230"/>
      <c r="G124" s="230"/>
      <c r="H124" s="230"/>
      <c r="I124" s="230"/>
      <c r="J124" s="230"/>
      <c r="K124" s="230"/>
      <c r="L124" s="230"/>
    </row>
    <row r="125" spans="1:12">
      <c r="A125" s="230"/>
      <c r="B125" s="230"/>
      <c r="C125" s="230"/>
      <c r="D125" s="230"/>
      <c r="E125" s="230"/>
      <c r="F125" s="230"/>
      <c r="G125" s="230"/>
      <c r="H125" s="230"/>
      <c r="I125" s="230"/>
      <c r="J125" s="230"/>
      <c r="K125" s="230"/>
      <c r="L125" s="230"/>
    </row>
    <row r="126" spans="1:12">
      <c r="A126" s="230"/>
      <c r="B126" s="230"/>
      <c r="C126" s="230"/>
      <c r="D126" s="230"/>
      <c r="E126" s="230"/>
      <c r="F126" s="230"/>
      <c r="G126" s="230"/>
      <c r="H126" s="230"/>
      <c r="I126" s="230"/>
      <c r="J126" s="230"/>
      <c r="K126" s="230"/>
      <c r="L126" s="230"/>
    </row>
    <row r="127" spans="1:12">
      <c r="A127" s="230"/>
      <c r="B127" s="230"/>
      <c r="C127" s="230"/>
      <c r="D127" s="230"/>
      <c r="E127" s="230"/>
      <c r="F127" s="230"/>
      <c r="G127" s="230"/>
      <c r="H127" s="230"/>
      <c r="I127" s="230"/>
      <c r="J127" s="230"/>
      <c r="K127" s="230"/>
      <c r="L127" s="230"/>
    </row>
    <row r="128" spans="1:12">
      <c r="A128" s="230"/>
      <c r="B128" s="230"/>
      <c r="C128" s="230"/>
      <c r="D128" s="230"/>
      <c r="E128" s="230"/>
      <c r="F128" s="230"/>
      <c r="G128" s="230"/>
      <c r="H128" s="230"/>
      <c r="I128" s="230"/>
      <c r="J128" s="230"/>
      <c r="K128" s="230"/>
      <c r="L128" s="230"/>
    </row>
    <row r="129" spans="1:12">
      <c r="A129" s="230"/>
      <c r="B129" s="230"/>
      <c r="C129" s="230"/>
      <c r="D129" s="230"/>
      <c r="E129" s="230"/>
      <c r="F129" s="230"/>
      <c r="G129" s="230"/>
      <c r="H129" s="230"/>
      <c r="I129" s="230"/>
      <c r="J129" s="230"/>
      <c r="K129" s="230"/>
      <c r="L129" s="230"/>
    </row>
    <row r="130" spans="1:12">
      <c r="A130" s="230"/>
      <c r="B130" s="230"/>
      <c r="C130" s="230"/>
      <c r="D130" s="230"/>
      <c r="E130" s="230"/>
      <c r="F130" s="230"/>
      <c r="G130" s="230"/>
      <c r="H130" s="230"/>
      <c r="I130" s="230"/>
      <c r="J130" s="230"/>
      <c r="K130" s="230"/>
      <c r="L130" s="230"/>
    </row>
    <row r="131" spans="1:12">
      <c r="A131" s="230"/>
      <c r="B131" s="230"/>
      <c r="C131" s="230"/>
      <c r="D131" s="230"/>
      <c r="E131" s="230"/>
      <c r="F131" s="230"/>
      <c r="G131" s="230"/>
      <c r="H131" s="230"/>
      <c r="I131" s="230"/>
      <c r="J131" s="230"/>
      <c r="K131" s="230"/>
      <c r="L131" s="230"/>
    </row>
    <row r="132" spans="1:12">
      <c r="A132" s="230"/>
      <c r="B132" s="230"/>
      <c r="C132" s="230"/>
      <c r="D132" s="230"/>
      <c r="E132" s="230"/>
      <c r="F132" s="230"/>
      <c r="G132" s="230"/>
      <c r="H132" s="230"/>
      <c r="I132" s="230"/>
      <c r="J132" s="230"/>
      <c r="K132" s="230"/>
      <c r="L132" s="230"/>
    </row>
    <row r="133" spans="1:12">
      <c r="A133" s="230"/>
      <c r="B133" s="230"/>
      <c r="C133" s="230"/>
      <c r="D133" s="230"/>
      <c r="E133" s="230"/>
      <c r="F133" s="230"/>
      <c r="G133" s="230"/>
      <c r="H133" s="230"/>
      <c r="I133" s="230"/>
      <c r="J133" s="230"/>
      <c r="K133" s="230"/>
      <c r="L133" s="230"/>
    </row>
    <row r="134" spans="1:12">
      <c r="A134" s="230"/>
      <c r="B134" s="230"/>
      <c r="C134" s="230"/>
      <c r="D134" s="230"/>
      <c r="E134" s="230"/>
      <c r="F134" s="230"/>
      <c r="G134" s="230"/>
      <c r="H134" s="230"/>
      <c r="I134" s="230"/>
      <c r="J134" s="230"/>
      <c r="K134" s="230"/>
      <c r="L134" s="230"/>
    </row>
    <row r="135" spans="1:12">
      <c r="A135" s="230"/>
      <c r="B135" s="230"/>
      <c r="C135" s="230"/>
      <c r="D135" s="230"/>
      <c r="E135" s="230"/>
      <c r="F135" s="230"/>
      <c r="G135" s="230"/>
      <c r="H135" s="230"/>
      <c r="I135" s="230"/>
      <c r="J135" s="230"/>
      <c r="K135" s="230"/>
      <c r="L135" s="230"/>
    </row>
    <row r="136" spans="1:12">
      <c r="A136" s="230"/>
      <c r="B136" s="230"/>
      <c r="C136" s="230"/>
      <c r="D136" s="230"/>
      <c r="E136" s="230"/>
      <c r="F136" s="230"/>
      <c r="G136" s="230"/>
      <c r="H136" s="230"/>
      <c r="I136" s="230"/>
      <c r="J136" s="230"/>
      <c r="K136" s="230"/>
      <c r="L136" s="230"/>
    </row>
    <row r="137" spans="1:12">
      <c r="A137" s="230"/>
      <c r="B137" s="230"/>
      <c r="C137" s="230"/>
      <c r="D137" s="230"/>
      <c r="E137" s="230"/>
      <c r="F137" s="230"/>
      <c r="G137" s="230"/>
      <c r="H137" s="230"/>
      <c r="I137" s="230"/>
      <c r="J137" s="230"/>
      <c r="K137" s="230"/>
      <c r="L137" s="230"/>
    </row>
    <row r="138" spans="1:12">
      <c r="A138" s="230"/>
      <c r="B138" s="230"/>
      <c r="C138" s="230"/>
      <c r="D138" s="230"/>
      <c r="E138" s="230"/>
      <c r="F138" s="230"/>
      <c r="G138" s="230"/>
      <c r="H138" s="230"/>
      <c r="I138" s="230"/>
      <c r="J138" s="230"/>
      <c r="K138" s="230"/>
      <c r="L138" s="230"/>
    </row>
    <row r="139" spans="1:12">
      <c r="A139" s="230"/>
      <c r="B139" s="230"/>
      <c r="C139" s="230"/>
      <c r="D139" s="230"/>
      <c r="E139" s="230"/>
      <c r="F139" s="230"/>
      <c r="G139" s="230"/>
      <c r="H139" s="230"/>
      <c r="I139" s="230"/>
      <c r="J139" s="230"/>
      <c r="K139" s="230"/>
      <c r="L139" s="230"/>
    </row>
    <row r="140" spans="1:12">
      <c r="A140" s="230"/>
      <c r="B140" s="230"/>
      <c r="C140" s="230"/>
      <c r="D140" s="230"/>
      <c r="E140" s="230"/>
      <c r="F140" s="230"/>
      <c r="G140" s="230"/>
      <c r="H140" s="230"/>
      <c r="I140" s="230"/>
      <c r="J140" s="230"/>
      <c r="K140" s="230"/>
      <c r="L140" s="230"/>
    </row>
    <row r="141" spans="1:12">
      <c r="A141" s="230"/>
      <c r="B141" s="230"/>
      <c r="C141" s="230"/>
      <c r="D141" s="230"/>
      <c r="E141" s="230"/>
      <c r="F141" s="230"/>
      <c r="G141" s="230"/>
      <c r="H141" s="230"/>
      <c r="I141" s="230"/>
      <c r="J141" s="230"/>
      <c r="K141" s="230"/>
      <c r="L141" s="230"/>
    </row>
    <row r="142" spans="1:12">
      <c r="A142" s="230"/>
      <c r="B142" s="230"/>
      <c r="C142" s="230"/>
      <c r="D142" s="230"/>
      <c r="E142" s="230"/>
      <c r="F142" s="230"/>
      <c r="G142" s="230"/>
      <c r="H142" s="230"/>
      <c r="I142" s="230"/>
      <c r="J142" s="230"/>
      <c r="K142" s="230"/>
      <c r="L142" s="230"/>
    </row>
    <row r="143" spans="1:12">
      <c r="A143" s="230"/>
      <c r="B143" s="230"/>
      <c r="C143" s="230"/>
      <c r="D143" s="230"/>
      <c r="E143" s="230"/>
      <c r="F143" s="230"/>
      <c r="G143" s="230"/>
      <c r="H143" s="230"/>
      <c r="I143" s="230"/>
      <c r="J143" s="230"/>
      <c r="K143" s="230"/>
      <c r="L143" s="230"/>
    </row>
    <row r="144" spans="1:12">
      <c r="A144" s="230"/>
      <c r="B144" s="230"/>
      <c r="C144" s="230"/>
      <c r="D144" s="230"/>
      <c r="E144" s="230"/>
      <c r="F144" s="230"/>
      <c r="G144" s="230"/>
      <c r="H144" s="230"/>
      <c r="I144" s="230"/>
      <c r="J144" s="230"/>
      <c r="K144" s="230"/>
      <c r="L144" s="230"/>
    </row>
    <row r="145" spans="1:12">
      <c r="A145" s="230"/>
      <c r="B145" s="230"/>
      <c r="C145" s="230"/>
      <c r="D145" s="230"/>
      <c r="E145" s="230"/>
      <c r="F145" s="230"/>
      <c r="G145" s="230"/>
      <c r="H145" s="230"/>
      <c r="I145" s="230"/>
      <c r="J145" s="230"/>
      <c r="K145" s="230"/>
      <c r="L145" s="230"/>
    </row>
    <row r="146" spans="1:12">
      <c r="A146" s="230"/>
      <c r="B146" s="230"/>
      <c r="C146" s="230"/>
      <c r="D146" s="230"/>
      <c r="E146" s="230"/>
      <c r="F146" s="230"/>
      <c r="G146" s="230"/>
      <c r="H146" s="230"/>
      <c r="I146" s="230"/>
      <c r="J146" s="230"/>
      <c r="K146" s="230"/>
      <c r="L146" s="230"/>
    </row>
    <row r="147" spans="1:12">
      <c r="A147" s="230"/>
      <c r="B147" s="230"/>
      <c r="C147" s="230"/>
      <c r="D147" s="230"/>
      <c r="E147" s="230"/>
      <c r="F147" s="230"/>
      <c r="G147" s="230"/>
      <c r="H147" s="230"/>
      <c r="I147" s="230"/>
      <c r="J147" s="230"/>
      <c r="K147" s="230"/>
      <c r="L147" s="230"/>
    </row>
    <row r="148" spans="1:12">
      <c r="A148" s="230"/>
      <c r="B148" s="230"/>
      <c r="C148" s="230"/>
      <c r="D148" s="230"/>
      <c r="E148" s="230"/>
      <c r="F148" s="230"/>
      <c r="G148" s="230"/>
      <c r="H148" s="230"/>
      <c r="I148" s="230"/>
      <c r="J148" s="230"/>
      <c r="K148" s="230"/>
      <c r="L148" s="230"/>
    </row>
    <row r="149" spans="1:12">
      <c r="A149" s="230"/>
      <c r="B149" s="230"/>
      <c r="C149" s="230"/>
      <c r="D149" s="230"/>
      <c r="E149" s="230"/>
      <c r="F149" s="230"/>
      <c r="G149" s="230"/>
      <c r="H149" s="230"/>
      <c r="I149" s="230"/>
      <c r="J149" s="230"/>
      <c r="K149" s="230"/>
      <c r="L149" s="230"/>
    </row>
    <row r="150" spans="1:12">
      <c r="A150" s="230"/>
      <c r="B150" s="230"/>
      <c r="C150" s="230"/>
      <c r="D150" s="230"/>
      <c r="E150" s="230"/>
      <c r="F150" s="230"/>
      <c r="G150" s="230"/>
      <c r="H150" s="230"/>
      <c r="I150" s="230"/>
      <c r="J150" s="230"/>
      <c r="K150" s="230"/>
      <c r="L150" s="230"/>
    </row>
    <row r="151" spans="1:12">
      <c r="A151" s="230"/>
      <c r="B151" s="230"/>
      <c r="C151" s="230"/>
      <c r="D151" s="230"/>
      <c r="E151" s="230"/>
      <c r="F151" s="230"/>
      <c r="G151" s="230"/>
      <c r="H151" s="230"/>
      <c r="I151" s="230"/>
      <c r="J151" s="230"/>
      <c r="K151" s="230"/>
      <c r="L151" s="230"/>
    </row>
    <row r="152" spans="1:12">
      <c r="A152" s="230"/>
      <c r="B152" s="230"/>
      <c r="C152" s="230"/>
      <c r="D152" s="230"/>
      <c r="E152" s="230"/>
      <c r="F152" s="230"/>
      <c r="G152" s="230"/>
      <c r="H152" s="230"/>
      <c r="I152" s="230"/>
      <c r="J152" s="230"/>
      <c r="K152" s="230"/>
      <c r="L152" s="230"/>
    </row>
    <row r="153" spans="1:12">
      <c r="A153" s="230"/>
      <c r="B153" s="230"/>
      <c r="C153" s="230"/>
      <c r="D153" s="230"/>
      <c r="E153" s="230"/>
      <c r="F153" s="230"/>
      <c r="G153" s="230"/>
      <c r="H153" s="230"/>
      <c r="I153" s="230"/>
      <c r="J153" s="230"/>
      <c r="K153" s="230"/>
      <c r="L153" s="230"/>
    </row>
  </sheetData>
  <pageMargins left="0.7" right="0.7" top="0.75" bottom="0.75" header="0.3" footer="0.3"/>
  <pageSetup scale="79" orientation="portrait" cellComments="asDisplayed" r:id="rId1"/>
  <headerFooter>
    <oddHeader>&amp;CSchedule 25
Wholesale Differences to Base TRR
&amp;RTO2021 Annual Update
Attachment 5
TO2018 True Up TRR</oddHeader>
    <oddFooter>&amp;R&amp;A</oddFooter>
  </headerFooter>
  <rowBreaks count="1" manualBreakCount="1">
    <brk id="67"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2350</v>
      </c>
    </row>
    <row r="3" spans="1:5" ht="13">
      <c r="B3" s="1" t="s">
        <v>36</v>
      </c>
      <c r="E3" s="95" t="s">
        <v>17</v>
      </c>
    </row>
    <row r="4" spans="1:5" ht="13">
      <c r="D4" s="2" t="s">
        <v>37</v>
      </c>
    </row>
    <row r="5" spans="1:5" ht="13">
      <c r="C5" s="572" t="s">
        <v>13</v>
      </c>
      <c r="D5" s="2" t="s">
        <v>404</v>
      </c>
    </row>
    <row r="6" spans="1:5" ht="13">
      <c r="A6" s="3" t="s">
        <v>330</v>
      </c>
      <c r="C6" s="3" t="s">
        <v>193</v>
      </c>
      <c r="D6" s="3" t="s">
        <v>406</v>
      </c>
      <c r="E6" s="3" t="s">
        <v>179</v>
      </c>
    </row>
    <row r="7" spans="1:5" ht="13">
      <c r="A7" s="2">
        <v>1</v>
      </c>
      <c r="C7" s="540">
        <v>2021</v>
      </c>
      <c r="D7" s="1253">
        <v>0.21</v>
      </c>
      <c r="E7" s="941" t="s">
        <v>2510</v>
      </c>
    </row>
    <row r="8" spans="1:5" ht="13">
      <c r="A8" s="2">
        <f>A7+1</f>
        <v>2</v>
      </c>
      <c r="E8" s="475"/>
    </row>
    <row r="9" spans="1:5" ht="13">
      <c r="A9" s="2">
        <f t="shared" ref="A9:A23" si="0">A8+1</f>
        <v>3</v>
      </c>
      <c r="B9" s="1" t="s">
        <v>38</v>
      </c>
      <c r="E9" s="1048"/>
    </row>
    <row r="10" spans="1:5" ht="13">
      <c r="A10" s="2">
        <f t="shared" si="0"/>
        <v>4</v>
      </c>
      <c r="B10" s="1"/>
      <c r="D10" s="2"/>
      <c r="E10" s="1048"/>
    </row>
    <row r="11" spans="1:5" ht="13">
      <c r="A11" s="2">
        <f t="shared" si="0"/>
        <v>5</v>
      </c>
      <c r="D11" s="2" t="s">
        <v>281</v>
      </c>
      <c r="E11" s="1048"/>
    </row>
    <row r="12" spans="1:5" ht="13">
      <c r="A12" s="2">
        <f t="shared" si="0"/>
        <v>6</v>
      </c>
      <c r="C12" s="572" t="s">
        <v>13</v>
      </c>
      <c r="D12" s="2" t="s">
        <v>404</v>
      </c>
      <c r="E12" s="1048"/>
    </row>
    <row r="13" spans="1:5" ht="13">
      <c r="A13" s="2">
        <f t="shared" si="0"/>
        <v>7</v>
      </c>
      <c r="C13" s="3" t="s">
        <v>193</v>
      </c>
      <c r="D13" s="3" t="s">
        <v>405</v>
      </c>
      <c r="E13" s="3" t="s">
        <v>179</v>
      </c>
    </row>
    <row r="14" spans="1:5" ht="13">
      <c r="A14" s="2">
        <f t="shared" si="0"/>
        <v>8</v>
      </c>
      <c r="C14" s="540">
        <v>2021</v>
      </c>
      <c r="D14" s="1160">
        <v>8.8400000000000006E-2</v>
      </c>
      <c r="E14" s="941" t="s">
        <v>2509</v>
      </c>
    </row>
    <row r="15" spans="1:5" ht="13">
      <c r="A15" s="2">
        <f t="shared" si="0"/>
        <v>9</v>
      </c>
      <c r="C15" s="54"/>
      <c r="D15" s="14"/>
      <c r="E15" s="13"/>
    </row>
    <row r="16" spans="1:5" ht="13">
      <c r="A16" s="2">
        <f t="shared" si="0"/>
        <v>10</v>
      </c>
      <c r="C16" s="54"/>
      <c r="D16" s="14"/>
      <c r="E16" s="16"/>
    </row>
    <row r="17" spans="1:9" ht="13">
      <c r="A17" s="2">
        <f t="shared" si="0"/>
        <v>11</v>
      </c>
      <c r="C17" s="61"/>
      <c r="E17" s="16"/>
    </row>
    <row r="18" spans="1:9" ht="12.75" customHeight="1">
      <c r="A18" s="572">
        <f t="shared" si="0"/>
        <v>12</v>
      </c>
      <c r="B18" s="1" t="s">
        <v>1640</v>
      </c>
      <c r="E18" s="16"/>
    </row>
    <row r="19" spans="1:9" ht="12.75" customHeight="1">
      <c r="A19" s="572">
        <f t="shared" si="0"/>
        <v>13</v>
      </c>
      <c r="E19" s="113"/>
      <c r="F19" s="3" t="s">
        <v>175</v>
      </c>
    </row>
    <row r="20" spans="1:9" ht="12.75" customHeight="1">
      <c r="A20" s="572">
        <f t="shared" si="0"/>
        <v>14</v>
      </c>
      <c r="B20" s="14"/>
      <c r="C20" s="14" t="str">
        <f>"Total Electric Payroll Tax Expense (From 1-BaseTRR, Line "&amp;'1-BaseTRR'!A52&amp;")"</f>
        <v>Total Electric Payroll Tax Expense (From 1-BaseTRR, Line 31)</v>
      </c>
      <c r="D20" s="14"/>
      <c r="E20" s="14"/>
      <c r="F20" s="7">
        <f>'1-BaseTRR'!K52</f>
        <v>127234578</v>
      </c>
      <c r="G20" s="12"/>
    </row>
    <row r="21" spans="1:9" ht="12.75" customHeight="1">
      <c r="A21" s="572">
        <f t="shared" si="0"/>
        <v>15</v>
      </c>
      <c r="B21" s="14"/>
      <c r="C21" s="478" t="s">
        <v>2346</v>
      </c>
      <c r="D21" s="14"/>
      <c r="E21" s="14"/>
      <c r="F21" s="594">
        <v>0.45500000000000002</v>
      </c>
      <c r="G21" s="12"/>
    </row>
    <row r="22" spans="1:9" ht="12.75" customHeight="1">
      <c r="A22" s="572">
        <f t="shared" si="0"/>
        <v>16</v>
      </c>
      <c r="B22" s="14"/>
      <c r="C22" s="478" t="str">
        <f>"Capitalized Overhead portion of Electric Payroll Tax Expense (Line "&amp;A20&amp;" * Line "&amp;A21&amp;")"</f>
        <v>Capitalized Overhead portion of Electric Payroll Tax Expense (Line 14 * Line 15)</v>
      </c>
      <c r="D22" s="14"/>
      <c r="E22" s="14"/>
      <c r="F22" s="459">
        <f>F20*F21</f>
        <v>57891732.990000002</v>
      </c>
      <c r="G22" s="478"/>
      <c r="H22" s="14"/>
      <c r="I22" s="478"/>
    </row>
    <row r="23" spans="1:9" ht="13">
      <c r="A23" s="572">
        <f t="shared" si="0"/>
        <v>17</v>
      </c>
      <c r="B23" s="14"/>
      <c r="C23" s="478" t="str">
        <f>"Non-Capitalized Overhead portion of Electric Payroll Tax Expense (Line "&amp;A20&amp;" - Line "&amp;A22&amp;")"</f>
        <v>Non-Capitalized Overhead portion of Electric Payroll Tax Expense (Line 14 - Line 16)</v>
      </c>
      <c r="D23" s="14"/>
      <c r="E23" s="14"/>
      <c r="F23" s="7">
        <f>F20-F22</f>
        <v>69342845.00999999</v>
      </c>
      <c r="G23" s="12"/>
      <c r="H23" s="14"/>
    </row>
    <row r="25" spans="1:9" ht="13">
      <c r="B25" s="51" t="s">
        <v>230</v>
      </c>
    </row>
    <row r="26" spans="1:9" ht="14.5">
      <c r="B26" s="992" t="s">
        <v>2347</v>
      </c>
      <c r="C26" s="14"/>
      <c r="D26" s="1221" t="s">
        <v>2718</v>
      </c>
      <c r="E26" s="95"/>
      <c r="F26" s="95"/>
    </row>
    <row r="27" spans="1:9">
      <c r="B27" s="992" t="s">
        <v>2349</v>
      </c>
      <c r="C27" s="14"/>
      <c r="D27" s="14"/>
      <c r="E27" s="14"/>
      <c r="F27" s="14"/>
    </row>
    <row r="28" spans="1:9">
      <c r="B28" s="678"/>
      <c r="C28" s="14"/>
      <c r="D28" s="95" t="s">
        <v>2719</v>
      </c>
      <c r="E28" s="95"/>
      <c r="F28" s="95"/>
    </row>
    <row r="29" spans="1:9">
      <c r="B29" s="478" t="s">
        <v>2348</v>
      </c>
      <c r="C29" s="14"/>
      <c r="D29" s="14"/>
      <c r="E29" s="1054" t="s">
        <v>2728</v>
      </c>
    </row>
    <row r="30" spans="1:9">
      <c r="B30" s="475" t="s">
        <v>1807</v>
      </c>
      <c r="C30" s="14"/>
      <c r="D30" s="14"/>
      <c r="E30" s="1021" t="s">
        <v>2729</v>
      </c>
    </row>
    <row r="31" spans="1:9">
      <c r="B31" s="476" t="s">
        <v>2469</v>
      </c>
    </row>
    <row r="32" spans="1:9">
      <c r="B32" s="476" t="s">
        <v>2470</v>
      </c>
    </row>
    <row r="33" spans="2:2">
      <c r="B33" s="476" t="s">
        <v>2471</v>
      </c>
    </row>
    <row r="34" spans="2:2">
      <c r="B34" s="476" t="s">
        <v>2472</v>
      </c>
    </row>
    <row r="35" spans="2:2">
      <c r="B35" s="476" t="s">
        <v>2482</v>
      </c>
    </row>
    <row r="36" spans="2:2">
      <c r="B36" s="476" t="s">
        <v>2473</v>
      </c>
    </row>
    <row r="37" spans="2:2">
      <c r="B37" s="476" t="s">
        <v>2474</v>
      </c>
    </row>
    <row r="38" spans="2:2">
      <c r="B38" s="476" t="s">
        <v>2475</v>
      </c>
    </row>
    <row r="39" spans="2:2">
      <c r="B39" s="476" t="s">
        <v>2476</v>
      </c>
    </row>
    <row r="40" spans="2:2">
      <c r="B40" s="476" t="s">
        <v>2477</v>
      </c>
    </row>
  </sheetData>
  <phoneticPr fontId="23" type="noConversion"/>
  <pageMargins left="0.75" right="0.75" top="1" bottom="1" header="0.5" footer="0.5"/>
  <pageSetup scale="75" orientation="portrait" cellComments="asDisplayed" r:id="rId1"/>
  <headerFooter alignWithMargins="0">
    <oddHeader>&amp;CSchedule 26
Tax Rates
&amp;RTO2021 Annual Update
Attachment 5
TO2018 True Up TRR</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0"/>
  <sheetViews>
    <sheetView topLeftCell="A22" zoomScaleNormal="100" workbookViewId="0">
      <selection activeCell="E27" sqref="E27"/>
    </sheetView>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202</v>
      </c>
      <c r="B1" s="1"/>
    </row>
    <row r="2" spans="1:9" ht="13">
      <c r="A2" s="1"/>
      <c r="B2" s="1"/>
      <c r="E2" s="95" t="s">
        <v>17</v>
      </c>
    </row>
    <row r="3" spans="1:9" ht="13">
      <c r="A3" s="2"/>
      <c r="B3" s="1" t="s">
        <v>1120</v>
      </c>
      <c r="G3" s="97"/>
    </row>
    <row r="4" spans="1:9" ht="13">
      <c r="A4" s="2"/>
      <c r="C4" s="1"/>
      <c r="D4" s="2"/>
      <c r="E4" s="2" t="s">
        <v>169</v>
      </c>
      <c r="G4" s="4" t="s">
        <v>63</v>
      </c>
    </row>
    <row r="5" spans="1:9" ht="13">
      <c r="A5" s="51" t="s">
        <v>330</v>
      </c>
      <c r="C5" s="1"/>
      <c r="D5" s="3" t="s">
        <v>168</v>
      </c>
      <c r="E5" s="3" t="s">
        <v>170</v>
      </c>
      <c r="G5" s="3" t="s">
        <v>171</v>
      </c>
    </row>
    <row r="6" spans="1:9" ht="38">
      <c r="A6" s="2">
        <v>1</v>
      </c>
      <c r="C6" s="1282" t="s">
        <v>2624</v>
      </c>
      <c r="D6" s="14"/>
      <c r="E6" s="1210" t="s">
        <v>2625</v>
      </c>
      <c r="F6" s="14"/>
      <c r="G6" s="490">
        <f>'19-OandM'!H124-'19-OandM'!H105-'19-OandM'!H120</f>
        <v>39291488.741132356</v>
      </c>
      <c r="I6" s="12"/>
    </row>
    <row r="7" spans="1:9" ht="13">
      <c r="A7" s="2">
        <f>A6+1</f>
        <v>2</v>
      </c>
      <c r="C7" s="66" t="s">
        <v>237</v>
      </c>
      <c r="D7" s="14"/>
      <c r="E7" s="15" t="s">
        <v>284</v>
      </c>
      <c r="G7" s="6">
        <v>801074308</v>
      </c>
    </row>
    <row r="8" spans="1:9" ht="13">
      <c r="A8" s="2">
        <f>A7+1</f>
        <v>3</v>
      </c>
      <c r="C8" s="5" t="s">
        <v>238</v>
      </c>
      <c r="D8" s="14"/>
      <c r="E8" s="15" t="s">
        <v>285</v>
      </c>
      <c r="G8" s="6">
        <v>202973544</v>
      </c>
    </row>
    <row r="9" spans="1:9" ht="13">
      <c r="A9" s="2">
        <f>A8+1</f>
        <v>4</v>
      </c>
      <c r="C9" s="66" t="s">
        <v>1126</v>
      </c>
      <c r="D9" s="14"/>
      <c r="E9" s="15" t="str">
        <f>"Line "&amp;A7&amp;" - Line "&amp;A8&amp;""</f>
        <v>Line 2 - Line 3</v>
      </c>
      <c r="G9" s="7">
        <f>G7-G8</f>
        <v>598100764</v>
      </c>
    </row>
    <row r="10" spans="1:9" ht="13">
      <c r="A10" s="572">
        <f t="shared" ref="A10:A48" si="0">A9+1</f>
        <v>5</v>
      </c>
      <c r="C10" s="14" t="s">
        <v>200</v>
      </c>
      <c r="D10" s="14"/>
      <c r="E10" s="15" t="str">
        <f>"Line "&amp;A6&amp;" / Line "&amp;A9&amp;""</f>
        <v>Line 1 / Line 4</v>
      </c>
      <c r="G10" s="8">
        <f>G6/G9</f>
        <v>6.5693761162178274E-2</v>
      </c>
    </row>
    <row r="11" spans="1:9" ht="13">
      <c r="A11" s="572">
        <f t="shared" si="0"/>
        <v>6</v>
      </c>
      <c r="C11" s="14"/>
      <c r="D11" s="14"/>
      <c r="E11" s="14"/>
    </row>
    <row r="12" spans="1:9" ht="13">
      <c r="A12" s="572">
        <f t="shared" si="0"/>
        <v>7</v>
      </c>
      <c r="B12" s="1" t="s">
        <v>1121</v>
      </c>
      <c r="C12" s="14"/>
      <c r="D12" s="14"/>
      <c r="E12" s="14"/>
      <c r="G12" s="97"/>
    </row>
    <row r="13" spans="1:9" ht="13">
      <c r="A13" s="572">
        <f t="shared" si="0"/>
        <v>8</v>
      </c>
      <c r="C13" s="14"/>
      <c r="D13" s="109"/>
      <c r="E13" s="109" t="s">
        <v>169</v>
      </c>
      <c r="G13" s="4" t="s">
        <v>63</v>
      </c>
    </row>
    <row r="14" spans="1:9" ht="13">
      <c r="A14" s="572">
        <f t="shared" si="0"/>
        <v>9</v>
      </c>
      <c r="C14" s="14"/>
      <c r="D14" s="123" t="s">
        <v>168</v>
      </c>
      <c r="E14" s="123" t="s">
        <v>170</v>
      </c>
      <c r="G14" s="3" t="s">
        <v>171</v>
      </c>
    </row>
    <row r="15" spans="1:9" ht="13">
      <c r="A15" s="572">
        <f t="shared" si="0"/>
        <v>10</v>
      </c>
      <c r="C15" s="14" t="s">
        <v>333</v>
      </c>
      <c r="D15" s="14"/>
      <c r="E15" s="15" t="str">
        <f>"7-PlantStudy, Line "&amp;'7-PlantStudy'!A28&amp;""</f>
        <v>7-PlantStudy, Line 21</v>
      </c>
      <c r="G15" s="63">
        <f>'7-PlantStudy'!E28</f>
        <v>9285531120.7645988</v>
      </c>
    </row>
    <row r="16" spans="1:9" ht="13">
      <c r="A16" s="572">
        <f t="shared" si="0"/>
        <v>11</v>
      </c>
      <c r="C16" s="14" t="s">
        <v>334</v>
      </c>
      <c r="D16" s="14"/>
      <c r="E16" s="15" t="str">
        <f>"7-PlantStudy, Line "&amp;'7-PlantStudy'!A42&amp;""</f>
        <v>7-PlantStudy, Line 30</v>
      </c>
      <c r="G16" s="63">
        <f>'7-PlantStudy'!E42</f>
        <v>0</v>
      </c>
    </row>
    <row r="17" spans="1:11" ht="13">
      <c r="A17" s="572">
        <f t="shared" si="0"/>
        <v>12</v>
      </c>
      <c r="C17" s="14" t="s">
        <v>59</v>
      </c>
      <c r="D17" s="14"/>
      <c r="E17" s="15" t="str">
        <f>"6-PlantInService, Line "&amp;'6-PlantInService'!A53&amp;", C2"</f>
        <v>6-PlantInService, Line 21, C2</v>
      </c>
      <c r="G17" s="63">
        <f>'6-PlantInService'!G53</f>
        <v>1253827471</v>
      </c>
      <c r="H17" s="97"/>
    </row>
    <row r="18" spans="1:11" ht="13">
      <c r="A18" s="572">
        <f t="shared" si="0"/>
        <v>13</v>
      </c>
      <c r="C18" s="14" t="s">
        <v>2390</v>
      </c>
      <c r="D18" s="14"/>
      <c r="E18" s="478" t="s">
        <v>2626</v>
      </c>
      <c r="G18" s="63">
        <f>G17*G10</f>
        <v>82368642.41845201</v>
      </c>
    </row>
    <row r="19" spans="1:11" ht="13">
      <c r="A19" s="572">
        <f t="shared" si="0"/>
        <v>14</v>
      </c>
      <c r="C19" s="14" t="s">
        <v>58</v>
      </c>
      <c r="D19" s="14"/>
      <c r="E19" s="15" t="str">
        <f>"6-PlantInService, Line "&amp;'6-PlantInService'!A53&amp;", C1"</f>
        <v>6-PlantInService, Line 21, C1</v>
      </c>
      <c r="G19" s="63">
        <f>'6-PlantInService'!F53</f>
        <v>3238857833</v>
      </c>
    </row>
    <row r="20" spans="1:11" ht="13">
      <c r="A20" s="572">
        <f t="shared" si="0"/>
        <v>15</v>
      </c>
      <c r="C20" s="14" t="s">
        <v>2391</v>
      </c>
      <c r="D20" s="14"/>
      <c r="E20" s="478" t="s">
        <v>2627</v>
      </c>
      <c r="G20" s="63">
        <f>G19*G10</f>
        <v>212772752.91935229</v>
      </c>
    </row>
    <row r="21" spans="1:11" ht="13">
      <c r="A21" s="572">
        <f t="shared" si="0"/>
        <v>16</v>
      </c>
      <c r="C21" s="15" t="s">
        <v>1124</v>
      </c>
      <c r="D21" s="14"/>
      <c r="E21" s="14" t="s">
        <v>34</v>
      </c>
      <c r="G21" s="6">
        <v>51320942976</v>
      </c>
    </row>
    <row r="22" spans="1:11" ht="13">
      <c r="A22" s="572">
        <f t="shared" si="0"/>
        <v>17</v>
      </c>
      <c r="C22" s="14"/>
      <c r="D22" s="14"/>
      <c r="E22" s="14"/>
      <c r="G22" s="97"/>
    </row>
    <row r="23" spans="1:11" ht="13">
      <c r="A23" s="572">
        <f t="shared" si="0"/>
        <v>18</v>
      </c>
      <c r="C23" s="14" t="s">
        <v>57</v>
      </c>
      <c r="D23" s="14"/>
      <c r="E23" s="478" t="s">
        <v>2628</v>
      </c>
      <c r="G23" s="8">
        <f>(G15+G16+G18+G20)/G21</f>
        <v>0.18668153702052509</v>
      </c>
    </row>
    <row r="24" spans="1:11" ht="13">
      <c r="A24" s="572">
        <f t="shared" si="0"/>
        <v>19</v>
      </c>
      <c r="B24" s="44" t="s">
        <v>1846</v>
      </c>
      <c r="C24" s="14"/>
      <c r="D24" s="14"/>
      <c r="E24" s="14"/>
      <c r="F24" s="14"/>
      <c r="G24" s="14"/>
      <c r="H24" s="14"/>
      <c r="I24" s="14"/>
      <c r="J24" s="14"/>
      <c r="K24" s="14"/>
    </row>
    <row r="25" spans="1:11" ht="13">
      <c r="A25" s="572">
        <f t="shared" si="0"/>
        <v>20</v>
      </c>
      <c r="B25" s="478"/>
      <c r="C25" s="14"/>
      <c r="D25" s="14"/>
      <c r="E25" s="14"/>
      <c r="F25" s="14"/>
      <c r="G25" s="14"/>
      <c r="H25" s="14"/>
      <c r="I25" s="14"/>
      <c r="J25" s="14"/>
      <c r="K25" s="14"/>
    </row>
    <row r="26" spans="1:11" ht="13">
      <c r="A26" s="572">
        <f t="shared" si="0"/>
        <v>21</v>
      </c>
      <c r="B26" s="478" t="s">
        <v>2410</v>
      </c>
      <c r="C26" s="14"/>
      <c r="D26" s="123" t="s">
        <v>1791</v>
      </c>
      <c r="E26" s="123" t="s">
        <v>168</v>
      </c>
      <c r="F26" s="14"/>
      <c r="G26" s="558" t="s">
        <v>1792</v>
      </c>
      <c r="H26" s="14"/>
      <c r="I26" s="14"/>
      <c r="J26" s="14"/>
      <c r="K26" s="14"/>
    </row>
    <row r="27" spans="1:11" ht="13">
      <c r="A27" s="572">
        <f t="shared" si="0"/>
        <v>22</v>
      </c>
      <c r="B27" s="14"/>
      <c r="C27" s="478" t="s">
        <v>1793</v>
      </c>
      <c r="D27" s="1044">
        <v>5708.146202944401</v>
      </c>
      <c r="E27" s="123"/>
      <c r="F27" s="14"/>
      <c r="G27" s="593" t="s">
        <v>2318</v>
      </c>
      <c r="H27" s="14"/>
      <c r="I27" s="14"/>
      <c r="J27" s="14"/>
      <c r="K27" s="14"/>
    </row>
    <row r="28" spans="1:11" ht="13">
      <c r="A28" s="572">
        <f t="shared" si="0"/>
        <v>23</v>
      </c>
      <c r="B28" s="14"/>
      <c r="C28" s="478" t="s">
        <v>1794</v>
      </c>
      <c r="D28" s="1044">
        <v>6452.0913370555918</v>
      </c>
      <c r="E28" s="123"/>
      <c r="F28" s="14"/>
      <c r="G28" s="593" t="s">
        <v>2319</v>
      </c>
      <c r="H28" s="14"/>
      <c r="I28" s="14"/>
      <c r="J28" s="14"/>
      <c r="K28" s="14"/>
    </row>
    <row r="29" spans="1:11" ht="13">
      <c r="A29" s="572">
        <f t="shared" si="0"/>
        <v>24</v>
      </c>
      <c r="B29" s="14"/>
      <c r="C29" s="478" t="s">
        <v>1795</v>
      </c>
      <c r="D29" s="111">
        <f>SUM(D27:D28)</f>
        <v>12160.237539999993</v>
      </c>
      <c r="E29" s="478" t="s">
        <v>2631</v>
      </c>
      <c r="F29" s="14"/>
      <c r="G29" s="593" t="s">
        <v>2320</v>
      </c>
      <c r="H29" s="14"/>
      <c r="I29" s="14"/>
      <c r="J29" s="14"/>
      <c r="K29" s="14"/>
    </row>
    <row r="30" spans="1:11" ht="13">
      <c r="A30" s="572">
        <f t="shared" si="0"/>
        <v>25</v>
      </c>
      <c r="B30" s="14"/>
      <c r="C30" s="478" t="s">
        <v>2354</v>
      </c>
      <c r="D30" s="993">
        <f>D27/D29</f>
        <v>0.46941074828250473</v>
      </c>
      <c r="E30" s="478" t="s">
        <v>2632</v>
      </c>
      <c r="F30" s="14"/>
      <c r="G30" s="945"/>
      <c r="H30" s="14"/>
      <c r="I30" s="14"/>
      <c r="J30" s="14"/>
      <c r="K30" s="14"/>
    </row>
    <row r="31" spans="1:11" ht="13">
      <c r="A31" s="572">
        <f t="shared" si="0"/>
        <v>26</v>
      </c>
      <c r="B31" s="123"/>
      <c r="C31" s="123"/>
      <c r="D31" s="14"/>
      <c r="E31" s="123"/>
      <c r="F31" s="14"/>
      <c r="G31" s="123"/>
      <c r="H31" s="14"/>
      <c r="I31" s="14"/>
      <c r="J31" s="14"/>
      <c r="K31" s="14"/>
    </row>
    <row r="32" spans="1:11" ht="13">
      <c r="A32" s="572">
        <f t="shared" si="0"/>
        <v>27</v>
      </c>
      <c r="B32" s="478" t="s">
        <v>2411</v>
      </c>
      <c r="C32" s="14"/>
      <c r="D32" s="123" t="s">
        <v>1791</v>
      </c>
      <c r="E32" s="123" t="s">
        <v>168</v>
      </c>
      <c r="F32" s="14"/>
      <c r="G32" s="558" t="s">
        <v>1792</v>
      </c>
      <c r="H32" s="14"/>
      <c r="I32" s="14"/>
      <c r="J32" s="14"/>
      <c r="K32" s="14"/>
    </row>
    <row r="33" spans="1:11" ht="13">
      <c r="A33" s="572">
        <f t="shared" si="0"/>
        <v>28</v>
      </c>
      <c r="B33" s="915"/>
      <c r="C33" s="478" t="s">
        <v>1796</v>
      </c>
      <c r="D33" s="1044">
        <v>4.7140999999999993</v>
      </c>
      <c r="E33" s="123"/>
      <c r="F33" s="14"/>
      <c r="G33" s="945" t="s">
        <v>1278</v>
      </c>
      <c r="H33" s="14"/>
      <c r="I33" s="14"/>
      <c r="J33" s="14"/>
      <c r="K33" s="14"/>
    </row>
    <row r="34" spans="1:11" ht="13">
      <c r="A34" s="572">
        <f t="shared" si="0"/>
        <v>29</v>
      </c>
      <c r="B34" s="915"/>
      <c r="C34" s="478" t="s">
        <v>1797</v>
      </c>
      <c r="D34" s="1044">
        <v>363.09459999999996</v>
      </c>
      <c r="E34" s="123"/>
      <c r="F34" s="14"/>
      <c r="G34" s="945" t="s">
        <v>1289</v>
      </c>
      <c r="H34" s="14"/>
      <c r="I34" s="14"/>
      <c r="J34" s="14"/>
      <c r="K34" s="14"/>
    </row>
    <row r="35" spans="1:11" ht="13">
      <c r="A35" s="572">
        <f t="shared" si="0"/>
        <v>30</v>
      </c>
      <c r="B35" s="915"/>
      <c r="C35" s="478" t="s">
        <v>1798</v>
      </c>
      <c r="D35" s="111">
        <f>SUM(D33:D34)</f>
        <v>367.80869999999993</v>
      </c>
      <c r="E35" s="478" t="s">
        <v>2633</v>
      </c>
      <c r="F35" s="14"/>
      <c r="G35" s="14"/>
      <c r="H35" s="14"/>
      <c r="I35" s="14"/>
      <c r="J35" s="14"/>
      <c r="K35" s="14"/>
    </row>
    <row r="36" spans="1:11" ht="13">
      <c r="A36" s="572">
        <f t="shared" si="0"/>
        <v>31</v>
      </c>
      <c r="B36" s="915"/>
      <c r="C36" s="478" t="s">
        <v>2355</v>
      </c>
      <c r="D36" s="993">
        <f>D33/D35</f>
        <v>1.2816716950958474E-2</v>
      </c>
      <c r="E36" s="478" t="s">
        <v>2634</v>
      </c>
      <c r="F36" s="14"/>
      <c r="G36" s="14"/>
      <c r="H36" s="14"/>
      <c r="I36" s="14"/>
      <c r="J36" s="14"/>
      <c r="K36" s="14"/>
    </row>
    <row r="37" spans="1:11" ht="13">
      <c r="A37" s="572">
        <f t="shared" si="0"/>
        <v>32</v>
      </c>
      <c r="B37" s="915"/>
      <c r="C37" s="112"/>
      <c r="D37" s="14"/>
      <c r="E37" s="123"/>
      <c r="F37" s="14"/>
      <c r="G37" s="63"/>
      <c r="H37" s="14"/>
      <c r="I37" s="14"/>
      <c r="J37" s="14"/>
      <c r="K37" s="14"/>
    </row>
    <row r="38" spans="1:11" ht="13">
      <c r="A38" s="572">
        <f t="shared" si="0"/>
        <v>33</v>
      </c>
      <c r="B38" s="478" t="s">
        <v>2412</v>
      </c>
      <c r="C38" s="14"/>
      <c r="D38" s="123" t="s">
        <v>1791</v>
      </c>
      <c r="E38" s="123" t="s">
        <v>168</v>
      </c>
      <c r="F38" s="14"/>
      <c r="G38" s="558" t="s">
        <v>1792</v>
      </c>
      <c r="H38" s="14"/>
      <c r="I38" s="14"/>
      <c r="J38" s="14"/>
      <c r="K38" s="14"/>
    </row>
    <row r="39" spans="1:11" ht="13">
      <c r="A39" s="572">
        <f t="shared" si="0"/>
        <v>34</v>
      </c>
      <c r="B39" s="915"/>
      <c r="C39" s="478" t="s">
        <v>1799</v>
      </c>
      <c r="D39" s="1044">
        <v>1259</v>
      </c>
      <c r="E39" s="123"/>
      <c r="F39" s="14"/>
      <c r="G39" s="945" t="s">
        <v>2321</v>
      </c>
      <c r="H39" s="14"/>
      <c r="I39" s="14"/>
      <c r="J39" s="14"/>
      <c r="K39" s="14"/>
    </row>
    <row r="40" spans="1:11" ht="13">
      <c r="A40" s="572">
        <f t="shared" si="0"/>
        <v>35</v>
      </c>
      <c r="B40" s="915"/>
      <c r="C40" s="478" t="s">
        <v>1800</v>
      </c>
      <c r="D40" s="1044">
        <v>2080</v>
      </c>
      <c r="E40" s="123"/>
      <c r="F40" s="14"/>
      <c r="G40" s="945"/>
      <c r="H40" s="14"/>
      <c r="I40" s="14"/>
      <c r="J40" s="14"/>
      <c r="K40" s="14"/>
    </row>
    <row r="41" spans="1:11" ht="13">
      <c r="A41" s="572">
        <f t="shared" si="0"/>
        <v>36</v>
      </c>
      <c r="B41" s="915"/>
      <c r="C41" s="478" t="s">
        <v>1801</v>
      </c>
      <c r="D41" s="111">
        <f>SUM(D39:D40)</f>
        <v>3339</v>
      </c>
      <c r="E41" s="478" t="s">
        <v>2635</v>
      </c>
      <c r="F41" s="14"/>
      <c r="G41" s="14"/>
      <c r="H41" s="14"/>
      <c r="I41" s="14"/>
      <c r="J41" s="14"/>
      <c r="K41" s="14"/>
    </row>
    <row r="42" spans="1:11" ht="13">
      <c r="A42" s="572">
        <f t="shared" si="0"/>
        <v>37</v>
      </c>
      <c r="B42" s="915"/>
      <c r="C42" s="478" t="s">
        <v>1802</v>
      </c>
      <c r="D42" s="993">
        <f>D39/D41</f>
        <v>0.37705899970050916</v>
      </c>
      <c r="E42" s="478" t="s">
        <v>2636</v>
      </c>
      <c r="F42" s="14"/>
      <c r="G42" s="14"/>
      <c r="H42" s="14"/>
      <c r="I42" s="14"/>
      <c r="J42" s="14"/>
      <c r="K42" s="14"/>
    </row>
    <row r="43" spans="1:11" ht="13">
      <c r="A43" s="572">
        <f t="shared" si="0"/>
        <v>38</v>
      </c>
      <c r="B43" s="14"/>
      <c r="C43" s="79"/>
      <c r="D43" s="14"/>
      <c r="E43" s="14"/>
      <c r="F43" s="14"/>
      <c r="G43" s="14"/>
      <c r="H43" s="14"/>
      <c r="I43" s="14"/>
      <c r="J43" s="14"/>
      <c r="K43" s="14"/>
    </row>
    <row r="44" spans="1:11" ht="13">
      <c r="A44" s="572">
        <f t="shared" si="0"/>
        <v>39</v>
      </c>
      <c r="B44" s="478" t="s">
        <v>2413</v>
      </c>
      <c r="C44" s="14"/>
      <c r="D44" s="123" t="s">
        <v>1791</v>
      </c>
      <c r="E44" s="123" t="s">
        <v>168</v>
      </c>
      <c r="F44" s="14"/>
      <c r="G44" s="558" t="s">
        <v>1792</v>
      </c>
      <c r="H44" s="14"/>
      <c r="I44" s="14"/>
      <c r="J44" s="14"/>
      <c r="K44" s="14"/>
    </row>
    <row r="45" spans="1:11" ht="13">
      <c r="A45" s="572">
        <f t="shared" si="0"/>
        <v>40</v>
      </c>
      <c r="B45" s="915"/>
      <c r="C45" s="478" t="s">
        <v>1805</v>
      </c>
      <c r="D45" s="1044">
        <v>0</v>
      </c>
      <c r="E45" s="123"/>
      <c r="F45" s="14"/>
      <c r="G45" s="593" t="s">
        <v>2322</v>
      </c>
      <c r="H45" s="14"/>
      <c r="I45" s="14"/>
      <c r="J45" s="14"/>
      <c r="K45" s="14"/>
    </row>
    <row r="46" spans="1:11" ht="13">
      <c r="A46" s="572">
        <f t="shared" si="0"/>
        <v>41</v>
      </c>
      <c r="B46" s="915"/>
      <c r="C46" s="478" t="s">
        <v>1803</v>
      </c>
      <c r="D46" s="1044">
        <v>8844</v>
      </c>
      <c r="E46" s="123"/>
      <c r="F46" s="14"/>
      <c r="G46" s="593" t="s">
        <v>1293</v>
      </c>
      <c r="H46" s="14"/>
      <c r="I46" s="14"/>
      <c r="J46" s="14"/>
      <c r="K46" s="14"/>
    </row>
    <row r="47" spans="1:11" ht="13">
      <c r="A47" s="572">
        <f t="shared" si="0"/>
        <v>42</v>
      </c>
      <c r="B47" s="915"/>
      <c r="C47" s="478" t="s">
        <v>1804</v>
      </c>
      <c r="D47" s="111">
        <f>SUM(D45:D46)</f>
        <v>8844</v>
      </c>
      <c r="E47" s="478" t="s">
        <v>2637</v>
      </c>
      <c r="F47" s="14"/>
      <c r="G47" s="593" t="s">
        <v>1294</v>
      </c>
      <c r="H47" s="14"/>
      <c r="I47" s="14"/>
      <c r="J47" s="14"/>
      <c r="K47" s="14"/>
    </row>
    <row r="48" spans="1:11" ht="13">
      <c r="A48" s="572">
        <f t="shared" si="0"/>
        <v>43</v>
      </c>
      <c r="B48" s="915"/>
      <c r="C48" s="478" t="s">
        <v>1806</v>
      </c>
      <c r="D48" s="993">
        <f>D45/D47</f>
        <v>0</v>
      </c>
      <c r="E48" s="478" t="s">
        <v>2638</v>
      </c>
      <c r="F48" s="14"/>
      <c r="G48" s="593" t="s">
        <v>2323</v>
      </c>
      <c r="H48" s="14"/>
      <c r="I48" s="14"/>
      <c r="J48" s="14"/>
      <c r="K48" s="14"/>
    </row>
    <row r="49" spans="1:11" ht="13">
      <c r="A49" s="572"/>
      <c r="E49" s="14"/>
      <c r="F49" s="14"/>
      <c r="G49" s="14"/>
      <c r="H49" s="14"/>
      <c r="I49" s="14"/>
      <c r="J49" s="14"/>
      <c r="K49" s="14"/>
    </row>
    <row r="50" spans="1:11" ht="13">
      <c r="A50" s="572"/>
      <c r="E50" s="14"/>
      <c r="F50" s="14"/>
      <c r="G50" s="14"/>
      <c r="H50" s="14"/>
      <c r="I50" s="14"/>
      <c r="J50" s="14"/>
      <c r="K50" s="14"/>
    </row>
    <row r="51" spans="1:11" ht="13">
      <c r="A51" s="572"/>
      <c r="E51" s="14"/>
      <c r="F51" s="14"/>
      <c r="G51" s="14"/>
      <c r="H51" s="14"/>
      <c r="I51" s="14"/>
      <c r="J51" s="14"/>
      <c r="K51" s="14"/>
    </row>
    <row r="52" spans="1:11" ht="13">
      <c r="A52" s="572"/>
    </row>
    <row r="53" spans="1:11" ht="13">
      <c r="A53" s="572"/>
    </row>
    <row r="54" spans="1:11" ht="13">
      <c r="A54" s="572"/>
    </row>
    <row r="55" spans="1:11" ht="13">
      <c r="A55" s="572"/>
    </row>
    <row r="56" spans="1:11" ht="13">
      <c r="A56" s="572"/>
    </row>
    <row r="57" spans="1:11" ht="13">
      <c r="A57" s="572"/>
    </row>
    <row r="58" spans="1:11" ht="13">
      <c r="A58" s="572"/>
    </row>
    <row r="59" spans="1:11" ht="13">
      <c r="A59" s="572"/>
    </row>
    <row r="60" spans="1:11" ht="13">
      <c r="A60" s="572"/>
    </row>
  </sheetData>
  <phoneticPr fontId="23" type="noConversion"/>
  <pageMargins left="0.75" right="0.75" top="1" bottom="1" header="0.5" footer="0.5"/>
  <pageSetup scale="67" orientation="landscape" cellComments="asDisplayed" r:id="rId1"/>
  <headerFooter alignWithMargins="0">
    <oddHeader>&amp;CSchedule 27
Allocation Factors
&amp;RTO2021 Annual Update
Attachment 5
TO2018 True Up TRR</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90" zoomScaleNormal="90" workbookViewId="0"/>
  </sheetViews>
  <sheetFormatPr defaultRowHeight="12.5"/>
  <cols>
    <col min="1" max="1" width="4.54296875" customWidth="1"/>
    <col min="2" max="2" width="3.54296875" customWidth="1"/>
    <col min="3" max="7" width="10.54296875" customWidth="1"/>
    <col min="8" max="8" width="4.54296875" customWidth="1"/>
    <col min="9" max="9" width="35.54296875" customWidth="1"/>
  </cols>
  <sheetData>
    <row r="1" spans="1:9" ht="13">
      <c r="A1" s="1" t="s">
        <v>1642</v>
      </c>
    </row>
    <row r="3" spans="1:9" ht="13">
      <c r="B3" s="1" t="s">
        <v>499</v>
      </c>
      <c r="I3" s="95" t="s">
        <v>17</v>
      </c>
    </row>
    <row r="4" spans="1:9" ht="13">
      <c r="B4" s="1"/>
      <c r="I4" s="14"/>
    </row>
    <row r="5" spans="1:9" ht="13">
      <c r="E5" s="109" t="s">
        <v>1863</v>
      </c>
    </row>
    <row r="6" spans="1:9" ht="13">
      <c r="A6" s="51" t="s">
        <v>330</v>
      </c>
      <c r="C6" s="3" t="s">
        <v>232</v>
      </c>
      <c r="D6" s="3" t="s">
        <v>233</v>
      </c>
      <c r="E6" s="994" t="s">
        <v>63</v>
      </c>
      <c r="G6" s="3" t="s">
        <v>234</v>
      </c>
      <c r="I6" s="51" t="s">
        <v>205</v>
      </c>
    </row>
    <row r="7" spans="1:9" ht="13">
      <c r="A7" s="2">
        <v>1</v>
      </c>
      <c r="C7" s="148">
        <v>2019</v>
      </c>
      <c r="D7" s="1054" t="s">
        <v>2640</v>
      </c>
      <c r="E7" s="95">
        <v>365</v>
      </c>
      <c r="F7" s="1048"/>
      <c r="G7" s="1066">
        <v>9.2480778683301894E-3</v>
      </c>
      <c r="H7" s="1048"/>
      <c r="I7" s="744" t="s">
        <v>2641</v>
      </c>
    </row>
    <row r="8" spans="1:9" ht="13">
      <c r="A8" s="2">
        <v>2</v>
      </c>
      <c r="C8" s="95"/>
      <c r="D8" s="95"/>
      <c r="E8" s="95"/>
      <c r="G8" s="95"/>
      <c r="I8" s="114"/>
    </row>
    <row r="10" spans="1:9" ht="13">
      <c r="B10" s="1" t="s">
        <v>1643</v>
      </c>
    </row>
    <row r="11" spans="1:9" ht="13">
      <c r="B11" s="1"/>
    </row>
    <row r="12" spans="1:9" ht="13">
      <c r="E12" s="109" t="s">
        <v>1863</v>
      </c>
    </row>
    <row r="13" spans="1:9" ht="13">
      <c r="C13" s="3" t="s">
        <v>232</v>
      </c>
      <c r="D13" s="3" t="s">
        <v>233</v>
      </c>
      <c r="E13" s="994" t="s">
        <v>63</v>
      </c>
      <c r="G13" s="3" t="s">
        <v>235</v>
      </c>
      <c r="I13" s="51" t="s">
        <v>205</v>
      </c>
    </row>
    <row r="14" spans="1:9" ht="13">
      <c r="A14" s="2">
        <v>3</v>
      </c>
      <c r="C14" s="148">
        <v>2019</v>
      </c>
      <c r="D14" s="1054" t="s">
        <v>2640</v>
      </c>
      <c r="E14" s="95">
        <v>365</v>
      </c>
      <c r="F14" s="1048"/>
      <c r="G14" s="88">
        <v>2.134007585335019E-3</v>
      </c>
      <c r="H14" s="1048"/>
      <c r="I14" s="1054" t="s">
        <v>2642</v>
      </c>
    </row>
    <row r="15" spans="1:9" ht="13">
      <c r="A15" s="2">
        <v>4</v>
      </c>
      <c r="C15" s="148"/>
      <c r="D15" s="95"/>
      <c r="E15" s="95"/>
      <c r="G15" s="88"/>
      <c r="I15" s="114"/>
    </row>
    <row r="18" spans="1:9" ht="13">
      <c r="B18" s="1" t="s">
        <v>498</v>
      </c>
    </row>
    <row r="19" spans="1:9" ht="13">
      <c r="B19" s="1"/>
    </row>
    <row r="20" spans="1:9" ht="13">
      <c r="C20" s="2" t="s">
        <v>403</v>
      </c>
      <c r="D20" s="2"/>
      <c r="E20" s="2"/>
    </row>
    <row r="21" spans="1:9" ht="13">
      <c r="C21" s="3" t="s">
        <v>193</v>
      </c>
      <c r="D21" s="3" t="s">
        <v>234</v>
      </c>
      <c r="E21" s="3" t="s">
        <v>235</v>
      </c>
      <c r="I21" s="51" t="s">
        <v>168</v>
      </c>
    </row>
    <row r="22" spans="1:9" ht="13">
      <c r="A22" s="2">
        <v>5</v>
      </c>
      <c r="C22" s="149">
        <v>2019</v>
      </c>
      <c r="D22" s="995">
        <f>E41</f>
        <v>9.2480778683301894E-3</v>
      </c>
      <c r="E22" s="995">
        <f>E42</f>
        <v>2.134007585335019E-3</v>
      </c>
      <c r="F22" s="14"/>
      <c r="G22" s="14"/>
      <c r="H22" s="14"/>
      <c r="I22" s="478" t="s">
        <v>1737</v>
      </c>
    </row>
    <row r="24" spans="1:9" ht="13">
      <c r="B24" s="1" t="s">
        <v>230</v>
      </c>
    </row>
    <row r="25" spans="1:9">
      <c r="B25" s="12" t="s">
        <v>549</v>
      </c>
    </row>
    <row r="26" spans="1:9">
      <c r="B26" s="12" t="s">
        <v>548</v>
      </c>
    </row>
    <row r="28" spans="1:9" ht="13">
      <c r="B28" s="1" t="s">
        <v>378</v>
      </c>
    </row>
    <row r="29" spans="1:9">
      <c r="B29" s="478" t="s">
        <v>1739</v>
      </c>
      <c r="C29" s="14"/>
      <c r="D29" s="14"/>
      <c r="E29" s="14"/>
      <c r="F29" s="14"/>
      <c r="G29" s="14"/>
      <c r="H29" s="14"/>
      <c r="I29" s="14"/>
    </row>
    <row r="30" spans="1:9">
      <c r="B30" s="478" t="s">
        <v>1749</v>
      </c>
      <c r="C30" s="14"/>
      <c r="D30" s="14"/>
      <c r="E30" s="14"/>
      <c r="F30" s="14"/>
      <c r="G30" s="14"/>
      <c r="H30" s="14"/>
      <c r="I30" s="14"/>
    </row>
    <row r="31" spans="1:9">
      <c r="B31" s="478" t="s">
        <v>1868</v>
      </c>
      <c r="C31" s="14"/>
      <c r="D31" s="14"/>
      <c r="E31" s="14"/>
      <c r="F31" s="14"/>
      <c r="G31" s="14"/>
      <c r="H31" s="14"/>
      <c r="I31" s="14"/>
    </row>
    <row r="32" spans="1:9">
      <c r="B32" s="478" t="s">
        <v>1867</v>
      </c>
      <c r="C32" s="14"/>
      <c r="D32" s="14"/>
      <c r="E32" s="14"/>
      <c r="F32" s="14"/>
      <c r="G32" s="14"/>
      <c r="H32" s="14"/>
      <c r="I32" s="14"/>
    </row>
    <row r="33" spans="2:9">
      <c r="B33" s="478" t="s">
        <v>1734</v>
      </c>
      <c r="C33" s="14"/>
      <c r="D33" s="14"/>
      <c r="E33" s="14"/>
      <c r="F33" s="14"/>
      <c r="G33" s="14"/>
      <c r="H33" s="14"/>
      <c r="I33" s="14"/>
    </row>
    <row r="34" spans="2:9">
      <c r="B34" s="478" t="s">
        <v>1735</v>
      </c>
      <c r="C34" s="14"/>
      <c r="D34" s="14"/>
      <c r="E34" s="14"/>
      <c r="F34" s="14"/>
      <c r="G34" s="14"/>
      <c r="H34" s="14"/>
      <c r="I34" s="14"/>
    </row>
    <row r="35" spans="2:9">
      <c r="B35" s="478" t="s">
        <v>2014</v>
      </c>
      <c r="C35" s="14"/>
      <c r="D35" s="14"/>
      <c r="E35" s="14"/>
      <c r="F35" s="14"/>
      <c r="G35" s="14"/>
      <c r="H35" s="14"/>
      <c r="I35" s="14"/>
    </row>
    <row r="36" spans="2:9">
      <c r="B36" s="478" t="s">
        <v>1738</v>
      </c>
      <c r="C36" s="14"/>
      <c r="D36" s="14"/>
      <c r="E36" s="14"/>
      <c r="F36" s="14"/>
      <c r="G36" s="14"/>
      <c r="H36" s="14"/>
      <c r="I36" s="14"/>
    </row>
    <row r="37" spans="2:9">
      <c r="B37" s="478" t="s">
        <v>1736</v>
      </c>
      <c r="C37" s="14"/>
      <c r="D37" s="14"/>
      <c r="E37" s="14"/>
      <c r="F37" s="14"/>
      <c r="G37" s="14"/>
      <c r="H37" s="14"/>
      <c r="I37" s="14"/>
    </row>
    <row r="38" spans="2:9">
      <c r="B38" s="478" t="s">
        <v>1866</v>
      </c>
      <c r="C38" s="14"/>
      <c r="D38" s="14"/>
      <c r="E38" s="14"/>
      <c r="F38" s="14"/>
      <c r="G38" s="14"/>
      <c r="H38" s="14"/>
      <c r="I38" s="14"/>
    </row>
    <row r="39" spans="2:9">
      <c r="B39" s="14"/>
      <c r="C39" s="14"/>
      <c r="D39" s="14"/>
      <c r="E39" s="14"/>
      <c r="F39" s="14"/>
      <c r="G39" s="14"/>
      <c r="H39" s="14"/>
      <c r="I39" s="14"/>
    </row>
    <row r="40" spans="2:9" ht="13">
      <c r="B40" s="14"/>
      <c r="C40" s="14"/>
      <c r="D40" s="14"/>
      <c r="E40" s="123" t="s">
        <v>1432</v>
      </c>
      <c r="F40" s="14"/>
      <c r="G40" s="910" t="s">
        <v>154</v>
      </c>
      <c r="H40" s="14"/>
      <c r="I40" s="14"/>
    </row>
    <row r="41" spans="2:9">
      <c r="B41" s="14"/>
      <c r="C41" s="14"/>
      <c r="D41" s="918" t="s">
        <v>1864</v>
      </c>
      <c r="E41" s="995">
        <f>((G7*E7) + (G8*E8))/(E7+E8)</f>
        <v>9.2480778683301894E-3</v>
      </c>
      <c r="F41" s="14"/>
      <c r="G41" s="593" t="s">
        <v>2356</v>
      </c>
      <c r="H41" s="14"/>
      <c r="I41" s="14"/>
    </row>
    <row r="42" spans="2:9">
      <c r="B42" s="14"/>
      <c r="C42" s="14"/>
      <c r="D42" s="918" t="s">
        <v>1865</v>
      </c>
      <c r="E42" s="995">
        <f>((G14*E14) + (G15*E15))/(E14+E15)</f>
        <v>2.134007585335019E-3</v>
      </c>
      <c r="F42" s="14"/>
      <c r="G42" s="593" t="s">
        <v>2357</v>
      </c>
      <c r="H42" s="14"/>
      <c r="I42" s="14"/>
    </row>
  </sheetData>
  <phoneticPr fontId="23" type="noConversion"/>
  <pageMargins left="0.75" right="0.75" top="1" bottom="1" header="0.5" footer="0.5"/>
  <pageSetup scale="82" orientation="portrait" cellComments="asDisplayed" r:id="rId1"/>
  <headerFooter alignWithMargins="0">
    <oddHeader>&amp;CSchedule 28
FF and U
&amp;RTO2021 Annual Update
Attachment 5
TO2018 True Up TRR</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zoomScalePageLayoutView="9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1380</v>
      </c>
    </row>
    <row r="2" spans="1:10">
      <c r="G2" s="43" t="s">
        <v>17</v>
      </c>
      <c r="H2" s="43"/>
      <c r="I2" s="95"/>
    </row>
    <row r="3" spans="1:10" ht="13">
      <c r="A3" s="3" t="s">
        <v>330</v>
      </c>
      <c r="B3" s="3" t="s">
        <v>83</v>
      </c>
      <c r="F3" s="51" t="s">
        <v>168</v>
      </c>
      <c r="G3" s="51" t="s">
        <v>179</v>
      </c>
      <c r="J3" s="51"/>
    </row>
    <row r="4" spans="1:10" ht="13">
      <c r="A4" s="2">
        <v>1</v>
      </c>
      <c r="B4" s="47">
        <f>'1-BaseTRR'!K157</f>
        <v>1091685498.2040904</v>
      </c>
      <c r="C4" s="52" t="s">
        <v>133</v>
      </c>
      <c r="G4" s="15" t="str">
        <f>"1-BaseTRR, Line "&amp;'1-BaseTRR'!A157&amp;""</f>
        <v>1-BaseTRR, Line 89</v>
      </c>
      <c r="H4" s="14"/>
    </row>
    <row r="5" spans="1:10" ht="13">
      <c r="A5" s="2">
        <f t="shared" ref="A5:A10" si="0">A4+1</f>
        <v>2</v>
      </c>
      <c r="B5" s="1094">
        <v>-91053969</v>
      </c>
      <c r="C5" s="52" t="s">
        <v>134</v>
      </c>
      <c r="F5" s="12" t="s">
        <v>360</v>
      </c>
      <c r="G5" s="1051" t="s">
        <v>2837</v>
      </c>
      <c r="H5" s="1086"/>
      <c r="I5" s="1051" t="s">
        <v>2838</v>
      </c>
    </row>
    <row r="6" spans="1:10" ht="13">
      <c r="A6" s="2">
        <f t="shared" si="0"/>
        <v>3</v>
      </c>
      <c r="B6" s="1094">
        <v>-90700417</v>
      </c>
      <c r="C6" s="52" t="s">
        <v>135</v>
      </c>
      <c r="G6" s="1051" t="s">
        <v>2837</v>
      </c>
      <c r="H6" s="1086"/>
      <c r="I6" s="1051" t="s">
        <v>2838</v>
      </c>
    </row>
    <row r="7" spans="1:10" ht="13">
      <c r="A7" s="2">
        <f t="shared" si="0"/>
        <v>4</v>
      </c>
      <c r="B7" s="1094">
        <v>-353552</v>
      </c>
      <c r="C7" s="52" t="s">
        <v>136</v>
      </c>
      <c r="G7" s="1051" t="s">
        <v>2837</v>
      </c>
      <c r="H7" s="1086"/>
      <c r="I7" s="1051" t="s">
        <v>2838</v>
      </c>
    </row>
    <row r="8" spans="1:10" ht="13">
      <c r="A8" s="2">
        <f t="shared" si="0"/>
        <v>5</v>
      </c>
      <c r="B8" s="47">
        <f>-'33-RetailRates'!E61</f>
        <v>-8277330.2366146175</v>
      </c>
      <c r="C8" s="52" t="s">
        <v>137</v>
      </c>
      <c r="F8" t="s">
        <v>361</v>
      </c>
      <c r="G8" t="s">
        <v>82</v>
      </c>
    </row>
    <row r="9" spans="1:10" ht="13">
      <c r="A9" s="2">
        <f t="shared" si="0"/>
        <v>6</v>
      </c>
      <c r="B9" s="8">
        <f>'31-HVLV'!C45</f>
        <v>0.97048155769923095</v>
      </c>
      <c r="C9" s="52" t="s">
        <v>81</v>
      </c>
      <c r="G9" s="15" t="str">
        <f>"31-HVLV, Line "&amp;'31-HVLV'!A45&amp;""</f>
        <v>31-HVLV, Line 37</v>
      </c>
      <c r="H9" s="14"/>
    </row>
    <row r="10" spans="1:10" ht="13">
      <c r="A10" s="2">
        <f t="shared" si="0"/>
        <v>7</v>
      </c>
      <c r="B10" s="8">
        <f>'31-HVLV'!D45</f>
        <v>2.951844230076911E-2</v>
      </c>
      <c r="C10" s="52" t="s">
        <v>80</v>
      </c>
      <c r="G10" s="15" t="str">
        <f>"31-HVLV, Line "&amp;'31-HVLV'!A45&amp;""</f>
        <v>31-HVLV, Line 37</v>
      </c>
      <c r="H10" s="14"/>
    </row>
    <row r="11" spans="1:10">
      <c r="C11" s="37"/>
      <c r="D11" s="89"/>
      <c r="E11" s="89"/>
      <c r="F11" s="89"/>
      <c r="G11" s="89"/>
      <c r="H11" s="89"/>
      <c r="J11" s="89"/>
    </row>
    <row r="12" spans="1:10" ht="13">
      <c r="B12" s="1" t="s">
        <v>1505</v>
      </c>
      <c r="C12" s="37"/>
      <c r="D12" s="89"/>
      <c r="E12" s="89"/>
      <c r="F12" s="89"/>
      <c r="G12" s="89"/>
      <c r="H12" s="89"/>
    </row>
    <row r="13" spans="1:10" ht="13">
      <c r="B13" s="1"/>
      <c r="C13" s="37"/>
      <c r="D13" s="89"/>
      <c r="E13" s="89"/>
      <c r="F13" s="89"/>
      <c r="G13" s="89"/>
      <c r="H13" s="89"/>
    </row>
    <row r="14" spans="1:10" ht="13">
      <c r="B14" s="1"/>
      <c r="C14" s="37"/>
      <c r="D14" s="84" t="s">
        <v>359</v>
      </c>
      <c r="E14" s="84" t="s">
        <v>343</v>
      </c>
      <c r="F14" s="84" t="s">
        <v>344</v>
      </c>
      <c r="G14" s="89"/>
      <c r="H14" s="89"/>
    </row>
    <row r="15" spans="1:10" ht="13">
      <c r="B15" s="1"/>
      <c r="C15" s="37"/>
      <c r="F15" s="89"/>
      <c r="G15" s="89"/>
      <c r="H15" s="89"/>
    </row>
    <row r="16" spans="1:10" ht="13">
      <c r="E16" s="2" t="s">
        <v>467</v>
      </c>
      <c r="F16" s="2" t="s">
        <v>468</v>
      </c>
    </row>
    <row r="17" spans="1:8" ht="13">
      <c r="C17" s="37"/>
      <c r="D17" s="3" t="s">
        <v>138</v>
      </c>
      <c r="E17" s="3" t="s">
        <v>466</v>
      </c>
      <c r="F17" s="3" t="s">
        <v>466</v>
      </c>
      <c r="G17" s="3"/>
      <c r="H17" s="3" t="s">
        <v>179</v>
      </c>
    </row>
    <row r="18" spans="1:8" ht="13">
      <c r="A18" s="2">
        <f>A10+1</f>
        <v>8</v>
      </c>
      <c r="B18" s="90"/>
      <c r="C18" s="68" t="s">
        <v>149</v>
      </c>
      <c r="D18" s="63">
        <f>B4</f>
        <v>1091685498.2040904</v>
      </c>
      <c r="E18" s="63">
        <f>D18*B9</f>
        <v>1059460642.8147666</v>
      </c>
      <c r="F18" s="63">
        <f>D18*B10</f>
        <v>32224855.389323819</v>
      </c>
      <c r="G18" s="7"/>
      <c r="H18" s="476" t="s">
        <v>282</v>
      </c>
    </row>
    <row r="19" spans="1:8" ht="13">
      <c r="A19" s="499">
        <f>A18+1</f>
        <v>9</v>
      </c>
      <c r="B19" s="90"/>
      <c r="C19" s="68" t="s">
        <v>1503</v>
      </c>
      <c r="D19" s="63">
        <f>'24-CWIPTRR'!E145</f>
        <v>27134335.925424896</v>
      </c>
      <c r="E19" s="63">
        <f>'24-CWIPTRR'!E145</f>
        <v>27134335.925424896</v>
      </c>
      <c r="F19" s="63">
        <v>0</v>
      </c>
      <c r="G19" s="7"/>
      <c r="H19" s="476" t="s">
        <v>956</v>
      </c>
    </row>
    <row r="20" spans="1:8" ht="13">
      <c r="A20" s="499">
        <f>A19+1</f>
        <v>10</v>
      </c>
      <c r="B20" s="90"/>
      <c r="C20" s="68" t="s">
        <v>1504</v>
      </c>
      <c r="D20" s="63">
        <f>D18-D19</f>
        <v>1064551162.2786654</v>
      </c>
      <c r="E20" s="63">
        <f>E18-E19</f>
        <v>1032326306.8893417</v>
      </c>
      <c r="F20" s="63">
        <f>F18-F19</f>
        <v>32224855.389323819</v>
      </c>
      <c r="G20" s="7"/>
      <c r="H20" s="476" t="s">
        <v>957</v>
      </c>
    </row>
    <row r="21" spans="1:8" ht="13">
      <c r="B21" s="90"/>
      <c r="C21" s="90"/>
      <c r="D21" s="63"/>
      <c r="E21" s="63"/>
      <c r="F21" s="63"/>
      <c r="G21" s="7"/>
    </row>
    <row r="22" spans="1:8" ht="13">
      <c r="A22" s="2">
        <f>A20+1</f>
        <v>11</v>
      </c>
      <c r="B22" s="1"/>
      <c r="C22" s="68" t="s">
        <v>139</v>
      </c>
      <c r="D22" s="63">
        <f>B5</f>
        <v>-91053969</v>
      </c>
      <c r="E22" s="63">
        <f>B6</f>
        <v>-90700417</v>
      </c>
      <c r="F22" s="63">
        <f>B7</f>
        <v>-353552</v>
      </c>
      <c r="G22" s="7"/>
      <c r="H22" t="str">
        <f>"Lines "&amp;A5&amp;" to "&amp;A7&amp;""</f>
        <v>Lines 2 to 4</v>
      </c>
    </row>
    <row r="23" spans="1:8" ht="13">
      <c r="B23" s="1"/>
      <c r="C23" s="68"/>
      <c r="D23" s="63"/>
      <c r="E23" s="63"/>
      <c r="F23" s="63"/>
      <c r="G23" s="7"/>
    </row>
    <row r="24" spans="1:8" ht="13">
      <c r="A24" s="2">
        <f>A22+1</f>
        <v>12</v>
      </c>
      <c r="B24" s="1"/>
      <c r="C24" s="68" t="s">
        <v>1632</v>
      </c>
      <c r="D24" s="110">
        <f>$B$8</f>
        <v>-8277330.2366146175</v>
      </c>
      <c r="E24" s="110">
        <f>$B$8*$B$9</f>
        <v>-8032996.3416206976</v>
      </c>
      <c r="F24" s="110">
        <f>$B$8*$B$10</f>
        <v>-244333.89499392011</v>
      </c>
      <c r="G24" s="91"/>
      <c r="H24" s="476" t="s">
        <v>524</v>
      </c>
    </row>
    <row r="25" spans="1:8" ht="13">
      <c r="A25" s="555"/>
      <c r="B25" s="1"/>
      <c r="C25" s="68"/>
      <c r="D25" s="110"/>
      <c r="E25" s="110"/>
      <c r="F25" s="110"/>
      <c r="G25" s="91"/>
      <c r="H25" s="476"/>
    </row>
    <row r="26" spans="1:8" ht="13">
      <c r="B26" s="1"/>
      <c r="C26" s="68" t="s">
        <v>1633</v>
      </c>
      <c r="D26" s="110"/>
      <c r="E26" s="110"/>
      <c r="F26" s="110"/>
      <c r="G26" s="91"/>
    </row>
    <row r="27" spans="1:8" ht="13">
      <c r="A27" s="2">
        <f>A24+1</f>
        <v>13</v>
      </c>
      <c r="B27" s="1"/>
      <c r="C27" s="68" t="s">
        <v>1634</v>
      </c>
      <c r="D27" s="63">
        <f>D18+D22+D24</f>
        <v>992354198.96747577</v>
      </c>
      <c r="E27" s="63">
        <f>E18+E22+E24</f>
        <v>960727229.47314596</v>
      </c>
      <c r="F27" s="63">
        <f>F18+F22+F24</f>
        <v>31626969.4943299</v>
      </c>
      <c r="G27" s="7"/>
      <c r="H27" s="99" t="str">
        <f>"Sum of Lines "&amp;A18&amp;", "&amp;A22&amp;", and "&amp;A24&amp;""</f>
        <v>Sum of Lines 8, 11, and 12</v>
      </c>
    </row>
    <row r="28" spans="1:8">
      <c r="E28" s="7"/>
    </row>
    <row r="29" spans="1:8" ht="13">
      <c r="B29" s="51" t="s">
        <v>230</v>
      </c>
    </row>
    <row r="30" spans="1:8">
      <c r="B30" s="12" t="s">
        <v>1408</v>
      </c>
    </row>
    <row r="31" spans="1:8">
      <c r="B31" s="476" t="s">
        <v>1644</v>
      </c>
    </row>
    <row r="32" spans="1:8">
      <c r="B32" s="12" t="s">
        <v>1409</v>
      </c>
    </row>
    <row r="33" spans="2:6">
      <c r="B33" s="478" t="s">
        <v>1784</v>
      </c>
      <c r="C33" s="14"/>
      <c r="D33" s="95" t="s">
        <v>2720</v>
      </c>
      <c r="E33" s="95"/>
      <c r="F33" s="14"/>
    </row>
    <row r="34" spans="2:6">
      <c r="B34" s="12" t="str">
        <f>"3) Column 1 is from Line "&amp;A4&amp;"."</f>
        <v>3) Column 1 is from Line 1.</v>
      </c>
    </row>
    <row r="35" spans="2:6">
      <c r="B35" s="13" t="str">
        <f>"Column 2 equals Column 1 * Line "&amp;A9&amp;"."</f>
        <v>Column 2 equals Column 1 * Line 6.</v>
      </c>
    </row>
    <row r="36" spans="2:6">
      <c r="B36" s="13" t="str">
        <f>"Column 3 equals Column 1 * Line "&amp;A10&amp;"."</f>
        <v>Column 3 equals Column 1 * Line 7.</v>
      </c>
    </row>
    <row r="37" spans="2:6">
      <c r="B37" s="14" t="str">
        <f>"4) From 24-CWIPTRR, Line "&amp;'24-CWIPTRR'!A145&amp;".  All High Voltage."</f>
        <v>4) From 24-CWIPTRR, Line 88.  All High Voltage.</v>
      </c>
    </row>
    <row r="38" spans="2:6">
      <c r="B38" t="str">
        <f>"5) Line "&amp;A18&amp;" - Line "&amp;A19&amp;""</f>
        <v>5) Line 8 - Line 9</v>
      </c>
    </row>
    <row r="39" spans="2:6">
      <c r="B39" s="12" t="str">
        <f>"6) Column 1 is from Line "&amp;A8&amp;"."</f>
        <v>6) Column 1 is from Line 5.</v>
      </c>
    </row>
    <row r="40" spans="2:6">
      <c r="B40" s="13" t="str">
        <f>"Column 2 equals Column 1 * Line "&amp;A9&amp;"."</f>
        <v>Column 2 equals Column 1 * Line 6.</v>
      </c>
    </row>
    <row r="41" spans="2:6">
      <c r="B41" s="13"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&amp;RTO2021 Annual Update
Attachment 5
TO2018 True Up TRR</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33"/>
  <sheetViews>
    <sheetView zoomScaleNormal="100" workbookViewId="0"/>
  </sheetViews>
  <sheetFormatPr defaultRowHeight="12.5"/>
  <cols>
    <col min="1" max="2" width="4.54296875" customWidth="1"/>
    <col min="4" max="4" width="24.453125" customWidth="1"/>
    <col min="5" max="5" width="17.54296875" customWidth="1"/>
    <col min="6" max="6" width="10" style="16" customWidth="1"/>
    <col min="7" max="7" width="10.453125" bestFit="1" customWidth="1"/>
  </cols>
  <sheetData>
    <row r="1" spans="1:9" ht="13">
      <c r="A1" s="1" t="s">
        <v>1406</v>
      </c>
    </row>
    <row r="2" spans="1:9" ht="13">
      <c r="B2" s="1"/>
    </row>
    <row r="3" spans="1:9">
      <c r="B3" s="12" t="s">
        <v>140</v>
      </c>
      <c r="E3" s="14"/>
      <c r="F3" s="112"/>
    </row>
    <row r="4" spans="1:9">
      <c r="B4" s="12"/>
    </row>
    <row r="5" spans="1:9">
      <c r="B5" s="13" t="s">
        <v>141</v>
      </c>
    </row>
    <row r="6" spans="1:9">
      <c r="B6" s="480" t="s">
        <v>2285</v>
      </c>
    </row>
    <row r="7" spans="1:9">
      <c r="B7" s="480" t="s">
        <v>2286</v>
      </c>
    </row>
    <row r="8" spans="1:9">
      <c r="B8" s="12"/>
    </row>
    <row r="9" spans="1:9">
      <c r="B9" s="12"/>
    </row>
    <row r="10" spans="1:9" ht="13">
      <c r="B10" s="1" t="s">
        <v>142</v>
      </c>
    </row>
    <row r="11" spans="1:9" ht="13">
      <c r="A11" s="3" t="s">
        <v>330</v>
      </c>
      <c r="E11" s="14"/>
      <c r="G11" s="3" t="s">
        <v>179</v>
      </c>
    </row>
    <row r="12" spans="1:9" ht="13">
      <c r="A12" s="2">
        <v>1</v>
      </c>
      <c r="D12" s="92" t="s">
        <v>1382</v>
      </c>
      <c r="E12" s="63">
        <f>'29-WholesaleTRRs'!F27</f>
        <v>31626969.4943299</v>
      </c>
      <c r="G12" s="46" t="str">
        <f>"29-WholesaleTRRs, Line "&amp;'29-WholesaleTRRs'!A27&amp;", C3"</f>
        <v>29-WholesaleTRRs, Line 13, C3</v>
      </c>
      <c r="H12" s="14"/>
      <c r="I12" s="14"/>
    </row>
    <row r="13" spans="1:9" ht="13">
      <c r="A13" s="2">
        <f>A12+1</f>
        <v>2</v>
      </c>
      <c r="D13" s="92" t="s">
        <v>1381</v>
      </c>
      <c r="E13" s="111">
        <f>'32-GrossLoad'!F8</f>
        <v>83511923.020000085</v>
      </c>
      <c r="F13" s="13" t="s">
        <v>283</v>
      </c>
      <c r="G13" s="46" t="str">
        <f>"32-Gross Load, Line "&amp;'32-GrossLoad'!A8&amp;""</f>
        <v>32-Gross Load, Line 4</v>
      </c>
      <c r="H13" s="14"/>
      <c r="I13" s="14"/>
    </row>
    <row r="14" spans="1:9" ht="13">
      <c r="A14" s="2">
        <f>A13+1</f>
        <v>3</v>
      </c>
      <c r="D14" s="92" t="s">
        <v>1383</v>
      </c>
      <c r="E14" s="1378">
        <f>E12/(E13*1000)</f>
        <v>3.7871202518897359E-4</v>
      </c>
      <c r="F14" s="16" t="s">
        <v>143</v>
      </c>
      <c r="G14" s="112" t="str">
        <f>"Line "&amp;A12&amp;" / (Line "&amp;A13&amp;" * 1000)"</f>
        <v>Line 1 / (Line 2 * 1000)</v>
      </c>
      <c r="H14" s="14"/>
      <c r="I14" s="14"/>
    </row>
    <row r="15" spans="1:9">
      <c r="D15" s="37"/>
      <c r="E15" s="144"/>
      <c r="G15" s="14"/>
      <c r="H15" s="14"/>
      <c r="I15" s="14"/>
    </row>
    <row r="16" spans="1:9">
      <c r="E16" s="14"/>
      <c r="G16" s="14"/>
      <c r="H16" s="14"/>
      <c r="I16" s="14"/>
    </row>
    <row r="17" spans="1:9" ht="13">
      <c r="B17" s="1" t="s">
        <v>144</v>
      </c>
      <c r="E17" s="14"/>
      <c r="G17" s="14"/>
      <c r="H17" s="14"/>
      <c r="I17" s="14"/>
    </row>
    <row r="18" spans="1:9">
      <c r="C18" s="52" t="s">
        <v>145</v>
      </c>
      <c r="E18" s="14"/>
      <c r="G18" s="14"/>
      <c r="H18" s="14"/>
      <c r="I18" s="14"/>
    </row>
    <row r="19" spans="1:9" ht="13">
      <c r="E19" s="14"/>
      <c r="G19" s="123" t="s">
        <v>179</v>
      </c>
      <c r="H19" s="14"/>
      <c r="I19" s="14"/>
    </row>
    <row r="20" spans="1:9" ht="13">
      <c r="A20" s="572">
        <f>A14+1</f>
        <v>4</v>
      </c>
      <c r="D20" s="37" t="s">
        <v>146</v>
      </c>
      <c r="E20" s="63">
        <f>'29-WholesaleTRRs'!E27</f>
        <v>960727229.47314596</v>
      </c>
      <c r="G20" s="46" t="str">
        <f>"29-WholesaleTRRs, Line "&amp;'29-WholesaleTRRs'!A27&amp;", C2"</f>
        <v>29-WholesaleTRRs, Line 13, C2</v>
      </c>
      <c r="H20" s="14"/>
      <c r="I20" s="14"/>
    </row>
    <row r="21" spans="1:9" ht="13">
      <c r="A21" s="2">
        <f>A20+1</f>
        <v>5</v>
      </c>
      <c r="D21" s="92" t="s">
        <v>1381</v>
      </c>
      <c r="E21" s="111">
        <f>'32-GrossLoad'!F8</f>
        <v>83511923.020000085</v>
      </c>
      <c r="F21" s="13" t="s">
        <v>283</v>
      </c>
      <c r="G21" s="46" t="str">
        <f>"32-Gross Load, Line "&amp;'32-GrossLoad'!A8&amp;""</f>
        <v>32-Gross Load, Line 4</v>
      </c>
      <c r="H21" s="14"/>
      <c r="I21" s="14"/>
    </row>
    <row r="22" spans="1:9" ht="13">
      <c r="A22" s="2">
        <f>A21+1</f>
        <v>6</v>
      </c>
      <c r="D22" s="92" t="s">
        <v>1384</v>
      </c>
      <c r="E22" s="1379">
        <f>E20/(E21*1000)</f>
        <v>1.1504072648920604E-2</v>
      </c>
      <c r="F22" s="16" t="s">
        <v>143</v>
      </c>
      <c r="G22" s="112" t="str">
        <f>"Line "&amp;A20&amp;" / (Line "&amp;A21&amp;" * 1000)"</f>
        <v>Line 4 / (Line 5 * 1000)</v>
      </c>
      <c r="H22" s="14"/>
      <c r="I22" s="14"/>
    </row>
    <row r="23" spans="1:9">
      <c r="E23" s="14"/>
      <c r="G23" s="14"/>
      <c r="H23" s="14"/>
      <c r="I23" s="14"/>
    </row>
    <row r="24" spans="1:9" ht="13">
      <c r="B24" s="1" t="s">
        <v>147</v>
      </c>
      <c r="E24" s="14"/>
      <c r="G24" s="14"/>
      <c r="H24" s="14"/>
      <c r="I24" s="14"/>
    </row>
    <row r="25" spans="1:9" ht="13">
      <c r="E25" s="14"/>
      <c r="G25" s="123" t="s">
        <v>179</v>
      </c>
      <c r="H25" s="14"/>
      <c r="I25" s="14"/>
    </row>
    <row r="26" spans="1:9" ht="13">
      <c r="A26" s="2">
        <f>A22+1</f>
        <v>7</v>
      </c>
      <c r="D26" s="92" t="s">
        <v>1385</v>
      </c>
      <c r="E26" s="63">
        <f>'29-WholesaleTRRs'!E27</f>
        <v>960727229.47314596</v>
      </c>
      <c r="G26" s="46" t="str">
        <f>"29-WholesaleTRRs, Line "&amp;'29-WholesaleTRRs'!A27&amp;", C2"</f>
        <v>29-WholesaleTRRs, Line 13, C2</v>
      </c>
      <c r="H26" s="14"/>
      <c r="I26" s="14"/>
    </row>
    <row r="27" spans="1:9" ht="13">
      <c r="A27" s="2">
        <f>A26+1</f>
        <v>8</v>
      </c>
      <c r="D27" s="92" t="s">
        <v>1386</v>
      </c>
      <c r="E27" s="111">
        <f>'32-GrossLoad'!F11</f>
        <v>176184.59163733138</v>
      </c>
      <c r="F27" s="16" t="s">
        <v>148</v>
      </c>
      <c r="G27" s="46" t="str">
        <f>"32-Gross Load, Line "&amp;'32-GrossLoad'!A11&amp;""</f>
        <v>32-Gross Load, Line 5</v>
      </c>
      <c r="H27" s="14"/>
      <c r="I27" s="14"/>
    </row>
    <row r="28" spans="1:9" ht="13">
      <c r="A28" s="2">
        <f>A27+1</f>
        <v>9</v>
      </c>
      <c r="D28" s="92" t="s">
        <v>1387</v>
      </c>
      <c r="E28" s="144">
        <f>ROUND((E26/(E27*1000)),2)</f>
        <v>5.45</v>
      </c>
      <c r="F28" s="13" t="s">
        <v>327</v>
      </c>
      <c r="G28" s="112" t="str">
        <f>"Line "&amp;A26&amp;" / (Line "&amp;A27&amp;" * 1000)"</f>
        <v>Line 7 / (Line 8 * 1000)</v>
      </c>
      <c r="H28" s="14"/>
      <c r="I28" s="14"/>
    </row>
    <row r="29" spans="1:9">
      <c r="E29" s="14"/>
      <c r="G29" s="14"/>
      <c r="H29" s="14"/>
      <c r="I29" s="14"/>
    </row>
    <row r="31" spans="1:9" ht="13">
      <c r="B31" s="51" t="s">
        <v>230</v>
      </c>
    </row>
    <row r="32" spans="1:9">
      <c r="B32" s="12" t="s">
        <v>1407</v>
      </c>
    </row>
    <row r="33" spans="2:4">
      <c r="B33" s="476" t="s">
        <v>1785</v>
      </c>
      <c r="D33" s="14"/>
    </row>
  </sheetData>
  <phoneticPr fontId="23" type="noConversion"/>
  <pageMargins left="0.75" right="0.75" top="1" bottom="1" header="0.5" footer="0.5"/>
  <pageSetup scale="84" orientation="portrait" cellComments="asDisplayed" r:id="rId1"/>
  <headerFooter alignWithMargins="0">
    <oddHeader>&amp;CSchedule 30
Wholesale Rates
&amp;RTO2021 Annual Update
Attachment 5
TO2018 True Up TRR</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workbookViewId="0"/>
  </sheetViews>
  <sheetFormatPr defaultRowHeight="13"/>
  <cols>
    <col min="1" max="1" width="4.54296875" customWidth="1"/>
    <col min="2" max="2" width="38" style="139" customWidth="1"/>
    <col min="3" max="3" width="16.453125" style="139" customWidth="1"/>
    <col min="4" max="4" width="14.54296875" style="139" customWidth="1"/>
    <col min="5" max="5" width="16" style="139" customWidth="1"/>
    <col min="6" max="6" width="3.453125" style="139" bestFit="1" customWidth="1"/>
    <col min="7" max="8" width="14.54296875" style="139" customWidth="1"/>
    <col min="9" max="9" width="17.453125" style="139" customWidth="1"/>
    <col min="10" max="11" width="14.54296875" style="139" customWidth="1"/>
  </cols>
  <sheetData>
    <row r="1" spans="1:11">
      <c r="A1" s="249" t="s">
        <v>455</v>
      </c>
      <c r="B1" s="17"/>
      <c r="C1" s="17"/>
      <c r="D1" s="17"/>
      <c r="E1" s="17"/>
      <c r="F1" s="17"/>
      <c r="G1" s="17"/>
      <c r="H1" s="17"/>
      <c r="I1" s="17"/>
      <c r="J1" s="17"/>
      <c r="K1" s="17"/>
    </row>
    <row r="2" spans="1:11" ht="12.5">
      <c r="A2" s="17" t="s">
        <v>465</v>
      </c>
      <c r="B2" s="17"/>
      <c r="C2" s="17"/>
      <c r="D2" s="17"/>
      <c r="E2" s="17"/>
      <c r="F2" s="17"/>
      <c r="G2" s="17"/>
      <c r="H2" s="17"/>
      <c r="I2" s="250" t="s">
        <v>447</v>
      </c>
      <c r="J2" s="250"/>
      <c r="K2" s="17"/>
    </row>
    <row r="3" spans="1:11" ht="12.5">
      <c r="A3" s="12"/>
      <c r="B3" s="17"/>
      <c r="C3" s="17"/>
      <c r="D3" s="17"/>
      <c r="E3" s="17"/>
      <c r="F3" s="17"/>
      <c r="G3" s="17"/>
      <c r="H3" s="17"/>
      <c r="I3" s="17"/>
      <c r="J3" s="17"/>
      <c r="K3" s="17"/>
    </row>
    <row r="4" spans="1:11" ht="12.5">
      <c r="A4" s="12"/>
      <c r="B4" s="17"/>
      <c r="C4" s="17"/>
      <c r="D4" s="17"/>
      <c r="E4" s="17"/>
      <c r="F4" s="17"/>
      <c r="G4" s="487" t="s">
        <v>1741</v>
      </c>
      <c r="H4" s="487"/>
      <c r="I4" s="487"/>
      <c r="J4" s="487"/>
      <c r="K4" s="17"/>
    </row>
    <row r="5" spans="1:11">
      <c r="A5" s="12"/>
      <c r="B5" s="249" t="s">
        <v>476</v>
      </c>
      <c r="C5" s="17"/>
      <c r="D5" s="17"/>
      <c r="E5" s="17"/>
      <c r="F5" s="17"/>
      <c r="G5" s="487" t="s">
        <v>1742</v>
      </c>
      <c r="H5" s="487"/>
      <c r="I5" s="487"/>
      <c r="J5" s="487"/>
      <c r="K5" s="17"/>
    </row>
    <row r="6" spans="1:11">
      <c r="A6" s="12"/>
      <c r="B6" s="17"/>
      <c r="C6" s="26" t="s">
        <v>457</v>
      </c>
      <c r="D6" s="26"/>
      <c r="E6" s="26"/>
      <c r="F6" s="26"/>
      <c r="G6" s="26"/>
      <c r="H6" s="26"/>
      <c r="I6" s="26" t="s">
        <v>14</v>
      </c>
      <c r="J6" s="26" t="s">
        <v>15</v>
      </c>
      <c r="K6" s="26" t="s">
        <v>75</v>
      </c>
    </row>
    <row r="7" spans="1:11">
      <c r="A7" s="12"/>
      <c r="B7" s="249" t="s">
        <v>462</v>
      </c>
      <c r="C7" s="31" t="s">
        <v>458</v>
      </c>
      <c r="D7" s="31" t="s">
        <v>419</v>
      </c>
      <c r="E7" s="31" t="s">
        <v>452</v>
      </c>
      <c r="F7" s="31"/>
      <c r="G7" s="31" t="s">
        <v>459</v>
      </c>
      <c r="H7" s="31" t="s">
        <v>460</v>
      </c>
      <c r="I7" s="31" t="s">
        <v>452</v>
      </c>
      <c r="J7" s="31" t="s">
        <v>452</v>
      </c>
      <c r="K7" s="31" t="s">
        <v>461</v>
      </c>
    </row>
    <row r="8" spans="1:11">
      <c r="A8" s="3" t="s">
        <v>330</v>
      </c>
      <c r="B8" s="249"/>
      <c r="C8" s="31"/>
      <c r="D8" s="31"/>
      <c r="E8" s="31"/>
      <c r="F8" s="31"/>
      <c r="G8" s="31"/>
      <c r="H8" s="31"/>
      <c r="I8" s="31"/>
      <c r="J8" s="31"/>
      <c r="K8" s="31"/>
    </row>
    <row r="9" spans="1:11">
      <c r="A9" s="2">
        <v>1</v>
      </c>
      <c r="B9" s="251" t="s">
        <v>464</v>
      </c>
      <c r="C9" s="252"/>
      <c r="D9" s="253"/>
      <c r="E9" s="253"/>
      <c r="F9" s="254"/>
      <c r="G9" s="252"/>
      <c r="H9" s="255"/>
      <c r="I9" s="255"/>
      <c r="J9" s="255"/>
      <c r="K9" s="255"/>
    </row>
    <row r="10" spans="1:11">
      <c r="A10" s="2">
        <f>A9+1</f>
        <v>2</v>
      </c>
      <c r="B10" s="256" t="s">
        <v>1197</v>
      </c>
      <c r="C10" s="257">
        <f>SUM(D10:E10)</f>
        <v>4667920362.043005</v>
      </c>
      <c r="D10" s="258">
        <f>G10+H10</f>
        <v>207455133.39088851</v>
      </c>
      <c r="E10" s="258">
        <f>I10+J10</f>
        <v>4460465228.6521168</v>
      </c>
      <c r="F10" s="259"/>
      <c r="G10" s="1198">
        <v>207455133.39088851</v>
      </c>
      <c r="H10" s="1198">
        <v>0</v>
      </c>
      <c r="I10" s="1198">
        <v>4460465228.6521168</v>
      </c>
      <c r="J10" s="1198">
        <v>0</v>
      </c>
      <c r="K10" s="1198">
        <v>0</v>
      </c>
    </row>
    <row r="11" spans="1:11">
      <c r="A11" s="2">
        <f t="shared" ref="A11:A47" si="0">A10+1</f>
        <v>3</v>
      </c>
      <c r="B11" s="256" t="s">
        <v>456</v>
      </c>
      <c r="C11" s="260">
        <f>SUM(D11:E11)</f>
        <v>120009504.46599762</v>
      </c>
      <c r="D11" s="261">
        <f>G11+H11</f>
        <v>5563854.8151071202</v>
      </c>
      <c r="E11" s="261">
        <f>I11+J11</f>
        <v>114445649.6508905</v>
      </c>
      <c r="F11" s="262"/>
      <c r="G11" s="1199">
        <v>0</v>
      </c>
      <c r="H11" s="1199">
        <v>5563854.8151071202</v>
      </c>
      <c r="I11" s="1199">
        <v>0</v>
      </c>
      <c r="J11" s="1199">
        <v>114445649.6508905</v>
      </c>
      <c r="K11" s="1199">
        <v>0</v>
      </c>
    </row>
    <row r="12" spans="1:11">
      <c r="A12" s="2">
        <f t="shared" si="0"/>
        <v>4</v>
      </c>
      <c r="B12" s="996" t="s">
        <v>1740</v>
      </c>
      <c r="C12" s="263">
        <f>SUM(C10:C11)</f>
        <v>4787929866.5090027</v>
      </c>
      <c r="D12" s="263">
        <f t="shared" ref="D12:K12" si="1">SUM(D10:D11)</f>
        <v>213018988.20599562</v>
      </c>
      <c r="E12" s="263">
        <f t="shared" si="1"/>
        <v>4574910878.3030071</v>
      </c>
      <c r="F12" s="263"/>
      <c r="G12" s="263">
        <f t="shared" si="1"/>
        <v>207455133.39088851</v>
      </c>
      <c r="H12" s="263">
        <f t="shared" si="1"/>
        <v>5563854.8151071202</v>
      </c>
      <c r="I12" s="263">
        <f t="shared" si="1"/>
        <v>4460465228.6521168</v>
      </c>
      <c r="J12" s="263">
        <f t="shared" si="1"/>
        <v>114445649.6508905</v>
      </c>
      <c r="K12" s="263">
        <f t="shared" si="1"/>
        <v>0</v>
      </c>
    </row>
    <row r="13" spans="1:11">
      <c r="A13" s="2">
        <f t="shared" si="0"/>
        <v>5</v>
      </c>
      <c r="B13" s="264"/>
      <c r="C13" s="265"/>
      <c r="D13" s="265"/>
      <c r="E13" s="265"/>
      <c r="F13" s="266"/>
      <c r="G13" s="265"/>
      <c r="H13" s="267"/>
      <c r="I13" s="268"/>
      <c r="J13" s="267"/>
      <c r="K13" s="267"/>
    </row>
    <row r="14" spans="1:11">
      <c r="A14" s="2">
        <f t="shared" si="0"/>
        <v>6</v>
      </c>
      <c r="B14" s="269" t="s">
        <v>453</v>
      </c>
      <c r="C14" s="265"/>
      <c r="D14" s="265"/>
      <c r="E14" s="265"/>
      <c r="F14" s="266"/>
      <c r="G14" s="265"/>
      <c r="H14" s="267"/>
      <c r="I14" s="268"/>
      <c r="J14" s="267"/>
      <c r="K14" s="267"/>
    </row>
    <row r="15" spans="1:11">
      <c r="A15" s="2">
        <f t="shared" si="0"/>
        <v>7</v>
      </c>
      <c r="B15" s="270" t="s">
        <v>463</v>
      </c>
      <c r="C15" s="258">
        <f>SUM(D15:E15)</f>
        <v>3979146962.6012878</v>
      </c>
      <c r="D15" s="258">
        <f>G15+H15</f>
        <v>41094318.708105646</v>
      </c>
      <c r="E15" s="258">
        <f>I15+J15</f>
        <v>3938052643.8931823</v>
      </c>
      <c r="F15" s="271"/>
      <c r="G15" s="1047">
        <v>41094318.708105646</v>
      </c>
      <c r="H15" s="1200">
        <v>0</v>
      </c>
      <c r="I15" s="1047">
        <v>3938052643.8931823</v>
      </c>
      <c r="J15" s="1200">
        <v>0</v>
      </c>
      <c r="K15" s="1200">
        <v>0</v>
      </c>
    </row>
    <row r="16" spans="1:11">
      <c r="A16" s="2">
        <f t="shared" si="0"/>
        <v>8</v>
      </c>
      <c r="B16" s="908" t="s">
        <v>2163</v>
      </c>
      <c r="C16" s="265">
        <f>SUM(D16:E16)</f>
        <v>473880491.02545714</v>
      </c>
      <c r="D16" s="258">
        <f>G16+H16</f>
        <v>193420.79395295464</v>
      </c>
      <c r="E16" s="258">
        <f>I16+J16+K16</f>
        <v>473687070.2315042</v>
      </c>
      <c r="F16" s="266"/>
      <c r="G16" s="1200">
        <v>109997.71908709324</v>
      </c>
      <c r="H16" s="1200">
        <v>83423.074865861388</v>
      </c>
      <c r="I16" s="1200">
        <v>286714506.78445357</v>
      </c>
      <c r="J16" s="1200">
        <v>130837448.235194</v>
      </c>
      <c r="K16" s="1200">
        <v>56135115.211856604</v>
      </c>
    </row>
    <row r="17" spans="1:11" ht="14">
      <c r="A17" s="2">
        <f t="shared" si="0"/>
        <v>9</v>
      </c>
      <c r="B17" s="908" t="s">
        <v>2183</v>
      </c>
      <c r="C17" s="272">
        <f>SUM(D17:E17)</f>
        <v>44573800.628850281</v>
      </c>
      <c r="D17" s="261">
        <f>G17+H17</f>
        <v>148787.81027597544</v>
      </c>
      <c r="E17" s="273">
        <f>I17+J17</f>
        <v>44425012.818574309</v>
      </c>
      <c r="F17" s="274"/>
      <c r="G17" s="1201">
        <v>0</v>
      </c>
      <c r="H17" s="1202">
        <v>148787.81027597544</v>
      </c>
      <c r="I17" s="1201">
        <v>0</v>
      </c>
      <c r="J17" s="1202">
        <v>44425012.818574309</v>
      </c>
      <c r="K17" s="1201">
        <v>0</v>
      </c>
    </row>
    <row r="18" spans="1:11">
      <c r="A18" s="2">
        <f t="shared" si="0"/>
        <v>10</v>
      </c>
      <c r="B18" s="997" t="s">
        <v>1828</v>
      </c>
      <c r="C18" s="258">
        <f>SUM(C15:C17)</f>
        <v>4497601254.2555952</v>
      </c>
      <c r="D18" s="258">
        <f>SUM(D15:D17)</f>
        <v>41436527.312334575</v>
      </c>
      <c r="E18" s="258">
        <f>SUM(E15:E17)</f>
        <v>4456164726.9432602</v>
      </c>
      <c r="F18" s="275"/>
      <c r="G18" s="258">
        <f>SUM(G15:G17)</f>
        <v>41204316.42719274</v>
      </c>
      <c r="H18" s="258">
        <f>SUM(H15:H17)</f>
        <v>232210.88514183683</v>
      </c>
      <c r="I18" s="258">
        <f>SUM(I15:I17)</f>
        <v>4224767150.6776357</v>
      </c>
      <c r="J18" s="258">
        <f>SUM(J15:J17)</f>
        <v>175262461.05376831</v>
      </c>
      <c r="K18" s="258">
        <f>SUM(K15:K17)</f>
        <v>56135115.211856604</v>
      </c>
    </row>
    <row r="19" spans="1:11">
      <c r="A19" s="2">
        <f t="shared" si="0"/>
        <v>11</v>
      </c>
      <c r="B19" s="264"/>
      <c r="C19" s="998"/>
      <c r="D19" s="998"/>
      <c r="E19" s="998"/>
      <c r="F19" s="277"/>
      <c r="G19" s="276"/>
      <c r="H19" s="276"/>
      <c r="I19" s="276"/>
      <c r="J19" s="276"/>
      <c r="K19" s="276"/>
    </row>
    <row r="20" spans="1:11">
      <c r="A20" s="2">
        <f t="shared" si="0"/>
        <v>12</v>
      </c>
      <c r="B20" s="997" t="s">
        <v>454</v>
      </c>
      <c r="C20" s="999">
        <f>C12+C18</f>
        <v>9285531120.7645988</v>
      </c>
      <c r="D20" s="999">
        <f t="shared" ref="D20:K20" si="2">D12+D18</f>
        <v>254455515.51833019</v>
      </c>
      <c r="E20" s="999">
        <f>E12+E18</f>
        <v>9031075605.2462673</v>
      </c>
      <c r="F20" s="278"/>
      <c r="G20" s="278">
        <f t="shared" si="2"/>
        <v>248659449.81808126</v>
      </c>
      <c r="H20" s="278">
        <f t="shared" si="2"/>
        <v>5796065.7002489567</v>
      </c>
      <c r="I20" s="278">
        <f t="shared" si="2"/>
        <v>8685232379.329752</v>
      </c>
      <c r="J20" s="278">
        <f t="shared" si="2"/>
        <v>289708110.70465881</v>
      </c>
      <c r="K20" s="278">
        <f t="shared" si="2"/>
        <v>56135115.211856604</v>
      </c>
    </row>
    <row r="21" spans="1:11">
      <c r="A21" s="2">
        <f t="shared" si="0"/>
        <v>13</v>
      </c>
      <c r="B21" s="17"/>
      <c r="C21" s="279"/>
      <c r="D21" s="280"/>
      <c r="E21" s="279"/>
      <c r="F21" s="17"/>
      <c r="G21" s="279"/>
      <c r="H21" s="279"/>
      <c r="I21" s="279"/>
      <c r="J21" s="279"/>
      <c r="K21" s="279"/>
    </row>
    <row r="22" spans="1:11">
      <c r="A22" s="2">
        <f t="shared" si="0"/>
        <v>14</v>
      </c>
      <c r="B22" s="17"/>
      <c r="C22" s="279"/>
      <c r="D22" s="280"/>
      <c r="E22" s="279"/>
      <c r="F22" s="17"/>
      <c r="G22" s="279"/>
      <c r="H22" s="279"/>
      <c r="I22" s="279"/>
      <c r="J22" s="279"/>
      <c r="K22" s="279"/>
    </row>
    <row r="23" spans="1:11">
      <c r="A23" s="2">
        <f t="shared" si="0"/>
        <v>15</v>
      </c>
      <c r="B23" s="489" t="s">
        <v>2164</v>
      </c>
      <c r="C23" s="279"/>
      <c r="D23" s="280"/>
      <c r="E23" s="279"/>
      <c r="F23" s="17"/>
      <c r="G23" s="279"/>
      <c r="H23" s="279"/>
      <c r="I23" s="279"/>
      <c r="J23" s="279"/>
      <c r="K23" s="279"/>
    </row>
    <row r="24" spans="1:11">
      <c r="A24" s="2">
        <f t="shared" si="0"/>
        <v>16</v>
      </c>
      <c r="B24" s="17"/>
      <c r="C24" s="281" t="s">
        <v>467</v>
      </c>
      <c r="D24" s="26" t="s">
        <v>468</v>
      </c>
      <c r="E24" s="26"/>
      <c r="F24" s="17"/>
      <c r="G24" s="17"/>
      <c r="H24" s="17"/>
      <c r="I24" s="17"/>
      <c r="J24" s="17"/>
      <c r="K24" s="17"/>
    </row>
    <row r="25" spans="1:11">
      <c r="A25" s="2">
        <f t="shared" si="0"/>
        <v>17</v>
      </c>
      <c r="B25" s="17" t="s">
        <v>329</v>
      </c>
      <c r="C25" s="31" t="s">
        <v>466</v>
      </c>
      <c r="D25" s="31" t="s">
        <v>466</v>
      </c>
      <c r="E25" s="31" t="s">
        <v>196</v>
      </c>
      <c r="F25" s="17"/>
      <c r="G25" s="282" t="s">
        <v>230</v>
      </c>
      <c r="H25" s="17"/>
      <c r="I25" s="17"/>
      <c r="J25" s="17"/>
      <c r="K25" s="17"/>
    </row>
    <row r="26" spans="1:11">
      <c r="A26" s="2">
        <f t="shared" si="0"/>
        <v>18</v>
      </c>
      <c r="B26" s="77" t="s">
        <v>419</v>
      </c>
      <c r="C26" s="278">
        <f>G20</f>
        <v>248659449.81808126</v>
      </c>
      <c r="D26" s="278">
        <f>H20</f>
        <v>5796065.7002489567</v>
      </c>
      <c r="E26" s="283">
        <f>SUM(C26:D26)</f>
        <v>254455515.51833022</v>
      </c>
      <c r="F26" s="17"/>
      <c r="G26" s="17" t="s">
        <v>472</v>
      </c>
      <c r="H26" s="17"/>
      <c r="I26" s="17"/>
      <c r="J26" s="17"/>
      <c r="K26" s="17"/>
    </row>
    <row r="27" spans="1:11">
      <c r="A27" s="2">
        <f t="shared" si="0"/>
        <v>19</v>
      </c>
      <c r="B27" s="77" t="s">
        <v>452</v>
      </c>
      <c r="C27" s="278">
        <f>I20</f>
        <v>8685232379.329752</v>
      </c>
      <c r="D27" s="278">
        <f>J20</f>
        <v>289708110.70465881</v>
      </c>
      <c r="E27" s="283">
        <f>SUM(C27:D27)</f>
        <v>8974940490.0344105</v>
      </c>
      <c r="F27" s="17"/>
      <c r="G27" s="17" t="s">
        <v>472</v>
      </c>
      <c r="H27" s="17"/>
      <c r="I27" s="17"/>
      <c r="J27" s="17"/>
      <c r="K27" s="17"/>
    </row>
    <row r="28" spans="1:11">
      <c r="A28" s="2">
        <f t="shared" si="0"/>
        <v>20</v>
      </c>
      <c r="B28" s="32" t="s">
        <v>470</v>
      </c>
      <c r="C28" s="278">
        <f>SUM(C26:C27)</f>
        <v>8933891829.1478329</v>
      </c>
      <c r="D28" s="278">
        <f>SUM(D26:D27)</f>
        <v>295504176.40490776</v>
      </c>
      <c r="E28" s="278">
        <f>SUM(C28:D28)</f>
        <v>9229396005.5527401</v>
      </c>
      <c r="F28" s="17"/>
      <c r="G28" s="17" t="s">
        <v>473</v>
      </c>
      <c r="H28" s="17"/>
      <c r="I28" s="17"/>
      <c r="J28" s="17"/>
      <c r="K28" s="17"/>
    </row>
    <row r="29" spans="1:11">
      <c r="A29" s="109">
        <f t="shared" si="0"/>
        <v>21</v>
      </c>
      <c r="B29" s="284" t="s">
        <v>469</v>
      </c>
      <c r="C29" s="285">
        <f>C28/E28</f>
        <v>0.96798228440657208</v>
      </c>
      <c r="D29" s="285">
        <f>D28/E28</f>
        <v>3.2017715593427969E-2</v>
      </c>
      <c r="E29" s="286"/>
      <c r="F29" s="1000"/>
      <c r="G29" s="1001" t="s">
        <v>474</v>
      </c>
      <c r="H29" s="264"/>
      <c r="I29" s="264"/>
      <c r="J29" s="264"/>
      <c r="K29" s="1000"/>
    </row>
    <row r="30" spans="1:11">
      <c r="A30" s="109">
        <f t="shared" si="0"/>
        <v>22</v>
      </c>
      <c r="B30" s="287"/>
      <c r="C30" s="288"/>
      <c r="D30" s="288"/>
      <c r="E30" s="288"/>
      <c r="F30" s="287"/>
      <c r="G30" s="287"/>
      <c r="H30" s="287"/>
      <c r="I30" s="287"/>
      <c r="J30" s="287"/>
      <c r="K30" s="287"/>
    </row>
    <row r="31" spans="1:11">
      <c r="A31" s="109">
        <f t="shared" si="0"/>
        <v>23</v>
      </c>
      <c r="B31" s="264" t="s">
        <v>471</v>
      </c>
      <c r="C31" s="1002">
        <f>K20*C29</f>
        <v>54337797.05819907</v>
      </c>
      <c r="D31" s="1002">
        <f>K20*D29</f>
        <v>1797318.1536575367</v>
      </c>
      <c r="E31" s="1002">
        <f>K20</f>
        <v>56135115.211856604</v>
      </c>
      <c r="F31" s="264"/>
      <c r="G31" s="487" t="str">
        <f>"Straddling Transformers split by Gross Plant Percentages on Line "&amp;A29&amp;""</f>
        <v>Straddling Transformers split by Gross Plant Percentages on Line 21</v>
      </c>
      <c r="H31" s="264"/>
      <c r="I31" s="264"/>
      <c r="J31" s="264"/>
      <c r="K31" s="264"/>
    </row>
    <row r="32" spans="1:11">
      <c r="A32" s="109">
        <f t="shared" si="0"/>
        <v>24</v>
      </c>
      <c r="B32" s="614" t="s">
        <v>2301</v>
      </c>
      <c r="C32" s="1003">
        <f>'12-AbandonedPlant'!G22</f>
        <v>0</v>
      </c>
      <c r="D32" s="1003">
        <f>E32-C32</f>
        <v>0</v>
      </c>
      <c r="E32" s="1003">
        <f>'12-AbandonedPlant'!G20</f>
        <v>0</v>
      </c>
      <c r="F32" s="614"/>
      <c r="G32" s="614" t="s">
        <v>2302</v>
      </c>
      <c r="H32" s="1004"/>
      <c r="I32" s="264"/>
      <c r="J32" s="264"/>
      <c r="K32" s="264"/>
    </row>
    <row r="33" spans="1:11">
      <c r="A33" s="109">
        <f t="shared" si="0"/>
        <v>25</v>
      </c>
      <c r="B33" s="264" t="s">
        <v>475</v>
      </c>
      <c r="C33" s="258">
        <f>C28+C31+C32</f>
        <v>8988229626.2060318</v>
      </c>
      <c r="D33" s="258">
        <f>D28+D31+D32</f>
        <v>297301494.55856532</v>
      </c>
      <c r="E33" s="258">
        <f>E28+E31+E32</f>
        <v>9285531120.7645969</v>
      </c>
      <c r="F33" s="264"/>
      <c r="G33" s="614" t="str">
        <f>"Line "&amp;A28&amp;" + Line "&amp;A31&amp;" + Line "&amp;A32&amp;""</f>
        <v>Line 20 + Line 23 + Line 24</v>
      </c>
      <c r="H33" s="614"/>
      <c r="I33" s="264"/>
      <c r="J33" s="264"/>
      <c r="K33" s="264"/>
    </row>
    <row r="34" spans="1:11">
      <c r="A34" s="109">
        <f t="shared" si="0"/>
        <v>26</v>
      </c>
      <c r="B34" s="264"/>
      <c r="C34" s="289"/>
      <c r="D34" s="289"/>
      <c r="E34" s="1005"/>
      <c r="F34" s="264"/>
      <c r="G34" s="264"/>
      <c r="H34" s="264"/>
      <c r="I34" s="264"/>
      <c r="J34" s="264"/>
      <c r="K34" s="264"/>
    </row>
    <row r="35" spans="1:11">
      <c r="A35" s="109">
        <f t="shared" si="0"/>
        <v>27</v>
      </c>
      <c r="B35" s="264"/>
      <c r="C35" s="1006"/>
      <c r="D35" s="1006"/>
      <c r="E35" s="264"/>
      <c r="F35" s="264"/>
      <c r="G35" s="1006"/>
      <c r="H35" s="1006"/>
      <c r="I35" s="1006"/>
      <c r="J35" s="264"/>
      <c r="K35" s="264"/>
    </row>
    <row r="36" spans="1:11">
      <c r="A36" s="109">
        <f t="shared" si="0"/>
        <v>28</v>
      </c>
      <c r="B36" s="269" t="s">
        <v>2303</v>
      </c>
      <c r="C36" s="264"/>
      <c r="D36" s="264"/>
      <c r="E36" s="264"/>
      <c r="F36" s="264"/>
      <c r="G36" s="264"/>
      <c r="H36" s="264"/>
      <c r="I36" s="264"/>
      <c r="J36" s="264"/>
      <c r="K36" s="264"/>
    </row>
    <row r="37" spans="1:11">
      <c r="A37" s="109">
        <f t="shared" si="0"/>
        <v>29</v>
      </c>
      <c r="B37" s="269"/>
      <c r="C37" s="264"/>
      <c r="D37" s="264"/>
      <c r="E37" s="264"/>
      <c r="F37" s="264"/>
      <c r="G37" s="264"/>
      <c r="H37" s="264"/>
      <c r="I37" s="264"/>
      <c r="J37" s="264"/>
      <c r="K37" s="264"/>
    </row>
    <row r="38" spans="1:11">
      <c r="A38" s="109">
        <f t="shared" si="0"/>
        <v>30</v>
      </c>
      <c r="B38" s="269"/>
      <c r="C38" s="1007" t="s">
        <v>467</v>
      </c>
      <c r="D38" s="423" t="s">
        <v>468</v>
      </c>
      <c r="E38" s="423"/>
      <c r="F38" s="264"/>
      <c r="G38" s="264"/>
      <c r="H38" s="264"/>
      <c r="I38" s="264"/>
      <c r="J38" s="264"/>
      <c r="K38" s="264"/>
    </row>
    <row r="39" spans="1:11">
      <c r="A39" s="109">
        <f t="shared" si="0"/>
        <v>31</v>
      </c>
      <c r="B39" s="269"/>
      <c r="C39" s="468" t="s">
        <v>466</v>
      </c>
      <c r="D39" s="468" t="s">
        <v>466</v>
      </c>
      <c r="E39" s="468" t="s">
        <v>196</v>
      </c>
      <c r="F39" s="264"/>
      <c r="G39" s="1008" t="s">
        <v>230</v>
      </c>
      <c r="H39" s="264"/>
      <c r="I39" s="264"/>
      <c r="J39" s="264"/>
      <c r="K39" s="264"/>
    </row>
    <row r="40" spans="1:11">
      <c r="A40" s="109">
        <f t="shared" si="0"/>
        <v>32</v>
      </c>
      <c r="B40" s="264" t="s">
        <v>475</v>
      </c>
      <c r="C40" s="271">
        <f>C33</f>
        <v>8988229626.2060318</v>
      </c>
      <c r="D40" s="271">
        <f>D33</f>
        <v>297301494.55856532</v>
      </c>
      <c r="E40" s="271">
        <f>E33</f>
        <v>9285531120.7645969</v>
      </c>
      <c r="F40" s="264"/>
      <c r="G40" s="264" t="str">
        <f>"Line "&amp;A33&amp;""</f>
        <v>Line 25</v>
      </c>
      <c r="H40" s="264"/>
      <c r="I40" s="264"/>
      <c r="J40" s="264"/>
      <c r="K40" s="264"/>
    </row>
    <row r="41" spans="1:11">
      <c r="A41" s="109">
        <f t="shared" si="0"/>
        <v>33</v>
      </c>
      <c r="B41" s="487" t="s">
        <v>2304</v>
      </c>
      <c r="C41" s="271">
        <f>'16-PlantAdditions'!K37-'16-PlantAdditions'!P37</f>
        <v>1200007182.0297368</v>
      </c>
      <c r="D41" s="271">
        <f>'16-PlantAdditions'!P37</f>
        <v>1275049.83482</v>
      </c>
      <c r="E41" s="1009">
        <f>SUM(C41:D41)</f>
        <v>1201282231.8645568</v>
      </c>
      <c r="F41" s="264"/>
      <c r="G41" s="264" t="str">
        <f>"13-Month Average: 16-PlantAdditions, Line "&amp;'16-PlantAdditions'!A37&amp;", Cols 7  (for Total) and 12 (for LV).  HV = C7 - C12."</f>
        <v>13-Month Average: 16-PlantAdditions, Line 25, Cols 7  (for Total) and 12 (for LV).  HV = C7 - C12.</v>
      </c>
      <c r="H41" s="264"/>
      <c r="I41" s="264"/>
      <c r="J41" s="264"/>
      <c r="K41" s="264"/>
    </row>
    <row r="42" spans="1:11">
      <c r="A42" s="109">
        <f t="shared" si="0"/>
        <v>34</v>
      </c>
      <c r="B42" s="487" t="s">
        <v>2305</v>
      </c>
      <c r="C42" s="550">
        <f>'10-CWIP'!K79</f>
        <v>-371898027.79150784</v>
      </c>
      <c r="D42" s="550">
        <v>0</v>
      </c>
      <c r="E42" s="550">
        <f>SUM(C42:D42)</f>
        <v>-371898027.79150784</v>
      </c>
      <c r="F42" s="264"/>
      <c r="G42" s="264" t="str">
        <f>"13 Month Average: 10-CWIP, Line "&amp;'10-CWIP'!A79&amp;", Col. 8"</f>
        <v>13 Month Average: 10-CWIP, Line 54, Col. 8</v>
      </c>
      <c r="H42" s="264"/>
      <c r="I42" s="264"/>
      <c r="J42" s="264"/>
      <c r="K42" s="264"/>
    </row>
    <row r="43" spans="1:11">
      <c r="A43" s="109">
        <f t="shared" si="0"/>
        <v>35</v>
      </c>
      <c r="B43" s="487" t="s">
        <v>2306</v>
      </c>
      <c r="C43" s="271">
        <f>SUM(C40:C42)</f>
        <v>9816338780.4442616</v>
      </c>
      <c r="D43" s="271">
        <f>SUM(D40:D42)</f>
        <v>298576544.39338529</v>
      </c>
      <c r="E43" s="271">
        <f>SUM(E40:E42)</f>
        <v>10114915324.837646</v>
      </c>
      <c r="F43" s="264"/>
      <c r="G43" s="264" t="str">
        <f>"Line "&amp;A40&amp;" + Line "&amp;A41&amp;" + Line "&amp;A42&amp;""</f>
        <v>Line 32 + Line 33 + Line 34</v>
      </c>
      <c r="H43" s="264"/>
      <c r="I43" s="264"/>
      <c r="J43" s="264"/>
      <c r="K43" s="264"/>
    </row>
    <row r="44" spans="1:11">
      <c r="A44" s="109">
        <f t="shared" si="0"/>
        <v>36</v>
      </c>
      <c r="B44" s="264"/>
      <c r="C44" s="264"/>
      <c r="D44" s="264"/>
      <c r="E44" s="264"/>
      <c r="F44" s="264"/>
      <c r="G44" s="264"/>
      <c r="H44" s="264"/>
      <c r="I44" s="264"/>
      <c r="J44" s="264"/>
      <c r="K44" s="264"/>
    </row>
    <row r="45" spans="1:11">
      <c r="A45" s="109">
        <f t="shared" si="0"/>
        <v>37</v>
      </c>
      <c r="B45" s="264" t="s">
        <v>1125</v>
      </c>
      <c r="C45" s="1010">
        <f>C43/E43</f>
        <v>0.97048155769923095</v>
      </c>
      <c r="D45" s="1010">
        <f>D43/E43</f>
        <v>2.951844230076911E-2</v>
      </c>
      <c r="E45" s="264"/>
      <c r="F45" s="264"/>
      <c r="G45" s="1011" t="str">
        <f>"Percent of Total on Line "&amp;A43&amp;""</f>
        <v>Percent of Total on Line 35</v>
      </c>
      <c r="H45" s="264"/>
      <c r="I45" s="264"/>
      <c r="J45" s="264"/>
      <c r="K45" s="264"/>
    </row>
    <row r="46" spans="1:11">
      <c r="A46" s="109">
        <f t="shared" si="0"/>
        <v>38</v>
      </c>
      <c r="B46" s="959" t="s">
        <v>1458</v>
      </c>
      <c r="C46" s="264"/>
      <c r="D46" s="264"/>
      <c r="E46" s="264"/>
      <c r="F46" s="264"/>
      <c r="G46" s="264"/>
      <c r="H46" s="264"/>
      <c r="I46" s="264"/>
      <c r="J46" s="264"/>
      <c r="K46" s="264"/>
    </row>
    <row r="47" spans="1:11">
      <c r="A47" s="109">
        <f t="shared" si="0"/>
        <v>39</v>
      </c>
      <c r="B47" s="487" t="s">
        <v>1615</v>
      </c>
      <c r="C47" s="264"/>
      <c r="D47" s="264"/>
      <c r="E47" s="264"/>
      <c r="F47" s="264"/>
      <c r="G47" s="264"/>
      <c r="H47" s="264"/>
      <c r="I47" s="264"/>
      <c r="J47" s="264"/>
      <c r="K47" s="264"/>
    </row>
    <row r="48" spans="1:11">
      <c r="A48" s="15"/>
      <c r="B48" s="44"/>
      <c r="C48" s="264"/>
      <c r="D48" s="264"/>
      <c r="E48" s="264"/>
      <c r="F48" s="264"/>
      <c r="G48" s="264"/>
      <c r="H48" s="264"/>
      <c r="I48" s="264"/>
      <c r="J48" s="264"/>
      <c r="K48" s="264"/>
    </row>
    <row r="49" spans="1:11">
      <c r="A49" s="15"/>
      <c r="B49" s="44"/>
      <c r="C49" s="614"/>
      <c r="D49" s="614"/>
      <c r="E49" s="614"/>
      <c r="F49" s="614"/>
      <c r="G49" s="614"/>
      <c r="H49" s="614"/>
      <c r="I49" s="264"/>
      <c r="J49" s="264"/>
      <c r="K49" s="264"/>
    </row>
    <row r="50" spans="1:11" ht="12.5">
      <c r="A50" s="15"/>
      <c r="B50" s="614"/>
      <c r="C50" s="614"/>
      <c r="D50" s="614"/>
      <c r="E50" s="614"/>
      <c r="F50" s="614"/>
      <c r="G50" s="614"/>
      <c r="H50" s="614"/>
      <c r="I50" s="264"/>
      <c r="J50" s="264"/>
      <c r="K50" s="264"/>
    </row>
    <row r="51" spans="1:11">
      <c r="A51" s="14"/>
      <c r="B51" s="614"/>
      <c r="C51" s="1004"/>
      <c r="D51" s="1004"/>
      <c r="E51" s="1004"/>
      <c r="F51" s="1004"/>
      <c r="G51" s="1004"/>
      <c r="H51" s="1004"/>
      <c r="I51" s="1012"/>
      <c r="J51" s="1012"/>
      <c r="K51" s="1012"/>
    </row>
  </sheetData>
  <pageMargins left="0.7" right="0.7" top="0.75" bottom="0.75" header="0.3" footer="0.3"/>
  <pageSetup scale="70" orientation="landscape" cellComments="asDisplayed" r:id="rId1"/>
  <headerFooter>
    <oddHeader>&amp;CSchedule 31
High and Low Voltage Gross Plant
&amp;RTO2021 Annual Update
Attachment 5
TO2018 True Up TRR</oddHeader>
    <oddFooter>&amp;R31-HVLV</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9" ht="13">
      <c r="A1" s="1" t="s">
        <v>1626</v>
      </c>
    </row>
    <row r="3" spans="1:9" ht="13">
      <c r="G3" s="2"/>
    </row>
    <row r="4" spans="1:9" ht="13">
      <c r="A4" s="3" t="s">
        <v>330</v>
      </c>
      <c r="F4" s="3" t="s">
        <v>283</v>
      </c>
      <c r="G4" s="3" t="s">
        <v>154</v>
      </c>
      <c r="H4" s="51" t="s">
        <v>179</v>
      </c>
    </row>
    <row r="5" spans="1:9" ht="13">
      <c r="A5" s="2">
        <v>1</v>
      </c>
      <c r="B5" s="476" t="s">
        <v>335</v>
      </c>
      <c r="F5" s="1301">
        <v>83502058.020000085</v>
      </c>
      <c r="G5" s="16"/>
      <c r="H5" t="s">
        <v>360</v>
      </c>
      <c r="I5" s="1285"/>
    </row>
    <row r="6" spans="1:9" ht="13">
      <c r="A6" s="2">
        <v>2</v>
      </c>
      <c r="B6" s="12" t="s">
        <v>336</v>
      </c>
      <c r="F6" s="1301">
        <v>21047</v>
      </c>
      <c r="G6" s="16"/>
      <c r="H6" t="s">
        <v>361</v>
      </c>
    </row>
    <row r="7" spans="1:9" s="1048" customFormat="1" ht="13">
      <c r="A7" s="572">
        <v>3</v>
      </c>
      <c r="B7" s="478" t="s">
        <v>2586</v>
      </c>
      <c r="C7" s="933"/>
      <c r="D7" s="933"/>
      <c r="E7" s="933"/>
      <c r="F7" s="1301">
        <v>-11182</v>
      </c>
      <c r="G7" s="16"/>
      <c r="H7" s="478" t="s">
        <v>1172</v>
      </c>
    </row>
    <row r="8" spans="1:9" ht="13">
      <c r="A8" s="4">
        <v>4</v>
      </c>
      <c r="B8" s="50" t="s">
        <v>325</v>
      </c>
      <c r="F8" s="1240">
        <f>SUM(F5:F7)</f>
        <v>83511923.020000085</v>
      </c>
      <c r="G8" s="480" t="s">
        <v>2639</v>
      </c>
      <c r="H8" s="12" t="s">
        <v>326</v>
      </c>
    </row>
    <row r="9" spans="1:9" ht="13">
      <c r="A9" s="572"/>
      <c r="F9" s="476"/>
      <c r="G9" s="16"/>
    </row>
    <row r="10" spans="1:9" ht="13">
      <c r="A10" s="572"/>
      <c r="F10" s="476"/>
      <c r="G10" s="16"/>
    </row>
    <row r="11" spans="1:9" ht="13">
      <c r="A11" s="4">
        <v>5</v>
      </c>
      <c r="B11" s="478" t="s">
        <v>2155</v>
      </c>
      <c r="C11" s="14"/>
      <c r="D11" s="14"/>
      <c r="E11" s="37"/>
      <c r="F11" s="1302">
        <v>176184.59163733138</v>
      </c>
      <c r="G11" s="16"/>
      <c r="H11" s="12" t="s">
        <v>360</v>
      </c>
      <c r="I11" s="1285"/>
    </row>
    <row r="12" spans="1:9">
      <c r="B12" s="14"/>
      <c r="C12" s="14"/>
      <c r="D12" s="14"/>
    </row>
    <row r="13" spans="1:9">
      <c r="B13" s="14"/>
      <c r="C13" s="14"/>
      <c r="D13" s="14"/>
    </row>
    <row r="14" spans="1:9" ht="13">
      <c r="B14" s="910" t="s">
        <v>230</v>
      </c>
      <c r="C14" s="14"/>
      <c r="D14" s="14"/>
    </row>
    <row r="15" spans="1:9">
      <c r="B15" s="15" t="s">
        <v>1223</v>
      </c>
      <c r="C15" s="14"/>
      <c r="D15" s="14"/>
    </row>
    <row r="16" spans="1:9">
      <c r="B16" s="15" t="s">
        <v>1224</v>
      </c>
      <c r="C16" s="14"/>
      <c r="D16" s="14"/>
    </row>
    <row r="17" spans="2:8">
      <c r="B17" s="478" t="s">
        <v>1848</v>
      </c>
      <c r="C17" s="14"/>
      <c r="D17" s="14"/>
      <c r="E17" s="14"/>
      <c r="F17" s="14"/>
      <c r="G17" s="14"/>
      <c r="H17" s="14"/>
    </row>
    <row r="18" spans="2:8">
      <c r="B18" s="478" t="s">
        <v>2587</v>
      </c>
    </row>
    <row r="19" spans="2:8" ht="15.5">
      <c r="B19" s="596"/>
    </row>
  </sheetData>
  <pageMargins left="0.7" right="0.7" top="0.75" bottom="0.75" header="0.3" footer="0.3"/>
  <pageSetup orientation="landscape" cellComments="asDisplayed" r:id="rId1"/>
  <headerFooter>
    <oddHeader>&amp;CSchedule 32 
Gross Load
&amp;RTO2021 Annual Update
Attachment 5
TO2018 True Up TRR</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topLeftCell="A112" zoomScale="90" zoomScaleNormal="90" zoomScalePageLayoutView="80" workbookViewId="0"/>
  </sheetViews>
  <sheetFormatPr defaultColWidth="9.453125" defaultRowHeight="12.5"/>
  <cols>
    <col min="1" max="1" width="5.453125" style="749" customWidth="1"/>
    <col min="2" max="2" width="18.54296875" style="749" customWidth="1"/>
    <col min="3" max="6" width="15.54296875" style="749" customWidth="1"/>
    <col min="7" max="7" width="18.1796875" style="749" customWidth="1"/>
    <col min="8" max="12" width="15.54296875" style="749" customWidth="1"/>
    <col min="13" max="13" width="15.54296875" style="748" customWidth="1"/>
    <col min="14" max="14" width="15.54296875" style="749" customWidth="1"/>
    <col min="15" max="16384" width="9.453125" style="749"/>
  </cols>
  <sheetData>
    <row r="1" spans="1:16" ht="15.5">
      <c r="A1" s="1287" t="s">
        <v>370</v>
      </c>
      <c r="B1" s="746"/>
      <c r="C1" s="746"/>
      <c r="D1" s="746"/>
      <c r="E1" s="746"/>
      <c r="F1" s="746"/>
      <c r="G1" s="746"/>
      <c r="H1" s="746"/>
      <c r="I1" s="746"/>
      <c r="J1" s="746"/>
      <c r="K1" s="747"/>
      <c r="L1" s="747"/>
    </row>
    <row r="2" spans="1:16" ht="14.25" customHeight="1">
      <c r="A2" s="745"/>
      <c r="B2" s="746"/>
      <c r="C2" s="746"/>
      <c r="D2" s="746"/>
      <c r="E2" s="746"/>
      <c r="F2" s="746"/>
      <c r="G2" s="746"/>
      <c r="H2" s="746"/>
      <c r="I2" s="746"/>
      <c r="J2" s="746"/>
      <c r="K2" s="747"/>
      <c r="L2" s="747"/>
    </row>
    <row r="3" spans="1:16" ht="13">
      <c r="E3" s="750" t="s">
        <v>179</v>
      </c>
      <c r="K3" s="751"/>
      <c r="L3" s="751"/>
    </row>
    <row r="4" spans="1:16" ht="13">
      <c r="C4" s="752" t="s">
        <v>1155</v>
      </c>
      <c r="D4" s="1360">
        <f>'1-BaseTRR'!K152</f>
        <v>1096397802.6210363</v>
      </c>
      <c r="E4" s="753" t="s">
        <v>2151</v>
      </c>
      <c r="G4" s="754" t="s">
        <v>447</v>
      </c>
      <c r="H4" s="755"/>
      <c r="J4" s="756"/>
      <c r="K4" s="751"/>
      <c r="L4" s="751"/>
    </row>
    <row r="5" spans="1:16" ht="13">
      <c r="C5" s="752"/>
      <c r="D5" s="757"/>
      <c r="E5" s="753"/>
      <c r="K5" s="751"/>
      <c r="L5" s="751"/>
    </row>
    <row r="6" spans="1:16" ht="15.5">
      <c r="B6" s="745" t="s">
        <v>1156</v>
      </c>
      <c r="D6" s="752"/>
      <c r="E6" s="757"/>
      <c r="F6" s="753"/>
      <c r="K6" s="751"/>
      <c r="L6" s="751"/>
    </row>
    <row r="7" spans="1:16" ht="13">
      <c r="C7" s="758" t="s">
        <v>359</v>
      </c>
      <c r="D7" s="758" t="s">
        <v>343</v>
      </c>
      <c r="E7" s="758" t="s">
        <v>344</v>
      </c>
      <c r="F7" s="830" t="s">
        <v>345</v>
      </c>
      <c r="G7" s="830" t="s">
        <v>346</v>
      </c>
      <c r="H7" s="830" t="s">
        <v>347</v>
      </c>
      <c r="I7" s="830" t="s">
        <v>348</v>
      </c>
      <c r="J7" s="830" t="s">
        <v>537</v>
      </c>
      <c r="K7" s="830" t="s">
        <v>954</v>
      </c>
      <c r="L7" s="830" t="s">
        <v>967</v>
      </c>
      <c r="M7" s="830" t="s">
        <v>970</v>
      </c>
      <c r="N7" s="750" t="s">
        <v>988</v>
      </c>
      <c r="O7" s="750" t="s">
        <v>1465</v>
      </c>
      <c r="P7" s="750" t="s">
        <v>1466</v>
      </c>
    </row>
    <row r="8" spans="1:16">
      <c r="C8" s="808" t="s">
        <v>360</v>
      </c>
      <c r="D8" s="756"/>
      <c r="E8" s="808" t="s">
        <v>361</v>
      </c>
      <c r="F8" s="808" t="s">
        <v>1157</v>
      </c>
      <c r="G8" s="808" t="s">
        <v>1172</v>
      </c>
      <c r="H8" s="808" t="s">
        <v>1174</v>
      </c>
      <c r="I8" s="808" t="s">
        <v>1175</v>
      </c>
      <c r="J8" s="808" t="s">
        <v>1176</v>
      </c>
      <c r="K8" s="756"/>
      <c r="L8" s="756"/>
    </row>
    <row r="9" spans="1:16" s="762" customFormat="1" ht="13">
      <c r="A9" s="760"/>
      <c r="B9" s="760"/>
      <c r="C9" s="758"/>
      <c r="D9" s="761"/>
      <c r="E9" s="1436" t="s">
        <v>2077</v>
      </c>
      <c r="F9" s="1437"/>
      <c r="G9" s="1437"/>
      <c r="H9" s="1438"/>
      <c r="I9" s="1439"/>
      <c r="J9" s="1096"/>
      <c r="K9" s="1096"/>
      <c r="L9" s="808" t="s">
        <v>2199</v>
      </c>
      <c r="M9" s="808" t="s">
        <v>2199</v>
      </c>
      <c r="N9" s="808" t="s">
        <v>2199</v>
      </c>
    </row>
    <row r="10" spans="1:16" s="767" customFormat="1" ht="53.25" customHeight="1">
      <c r="A10" s="763"/>
      <c r="B10" s="763"/>
      <c r="C10" s="764"/>
      <c r="D10" s="1097" t="s">
        <v>2078</v>
      </c>
      <c r="E10" s="1098" t="s">
        <v>2200</v>
      </c>
      <c r="F10" s="1098" t="s">
        <v>2201</v>
      </c>
      <c r="G10" s="1099" t="s">
        <v>2193</v>
      </c>
      <c r="H10" s="1098" t="s">
        <v>2079</v>
      </c>
      <c r="I10" s="1098" t="s">
        <v>2080</v>
      </c>
      <c r="J10" s="1100" t="s">
        <v>2202</v>
      </c>
      <c r="K10" s="765" t="s">
        <v>2203</v>
      </c>
      <c r="L10" s="765" t="s">
        <v>2204</v>
      </c>
      <c r="M10" s="1112" t="s">
        <v>2081</v>
      </c>
      <c r="N10" s="1113"/>
      <c r="O10" s="1114"/>
      <c r="P10" s="766"/>
    </row>
    <row r="11" spans="1:16" s="762" customFormat="1" ht="55.4" customHeight="1">
      <c r="A11" s="750" t="s">
        <v>320</v>
      </c>
      <c r="B11" s="768" t="s">
        <v>1158</v>
      </c>
      <c r="C11" s="769" t="s">
        <v>1159</v>
      </c>
      <c r="D11" s="770" t="s">
        <v>1160</v>
      </c>
      <c r="E11" s="768" t="s">
        <v>2205</v>
      </c>
      <c r="F11" s="841" t="s">
        <v>2206</v>
      </c>
      <c r="G11" s="1116" t="s">
        <v>2194</v>
      </c>
      <c r="H11" s="768" t="s">
        <v>2083</v>
      </c>
      <c r="I11" s="768" t="s">
        <v>2084</v>
      </c>
      <c r="J11" s="768" t="s">
        <v>2195</v>
      </c>
      <c r="K11" s="772" t="s">
        <v>2085</v>
      </c>
      <c r="L11" s="773" t="s">
        <v>2086</v>
      </c>
      <c r="M11" s="771" t="s">
        <v>2082</v>
      </c>
      <c r="N11" s="768" t="s">
        <v>2083</v>
      </c>
      <c r="O11" s="768" t="s">
        <v>2084</v>
      </c>
      <c r="P11" s="768" t="s">
        <v>168</v>
      </c>
    </row>
    <row r="12" spans="1:16" s="756" customFormat="1" ht="13">
      <c r="A12" s="774" t="s">
        <v>579</v>
      </c>
      <c r="B12" s="481" t="s">
        <v>2807</v>
      </c>
      <c r="C12" s="775">
        <f>M115</f>
        <v>0.43996175510061986</v>
      </c>
      <c r="D12" s="802">
        <f>$D$4*C12</f>
        <v>482373101.52961409</v>
      </c>
      <c r="E12" s="1032">
        <v>28264.3853800875</v>
      </c>
      <c r="F12" s="827"/>
      <c r="G12" s="1203">
        <v>1787.1306072908001</v>
      </c>
      <c r="H12" s="1033">
        <v>0</v>
      </c>
      <c r="I12" s="1034">
        <v>1.2E-2</v>
      </c>
      <c r="J12" s="792">
        <f>(E12+F12)-G12</f>
        <v>26477.254772796699</v>
      </c>
      <c r="K12" s="1363">
        <f>D12/(J12*10^6)</f>
        <v>1.8218395587793888E-2</v>
      </c>
      <c r="L12" s="1364"/>
      <c r="N12" s="751"/>
      <c r="O12" s="749"/>
      <c r="P12" s="748"/>
    </row>
    <row r="13" spans="1:16" s="756" customFormat="1" ht="13.5" thickBot="1">
      <c r="A13" s="774" t="s">
        <v>581</v>
      </c>
      <c r="B13" s="481" t="s">
        <v>2808</v>
      </c>
      <c r="C13" s="775">
        <f>M116</f>
        <v>7.252975732135776E-2</v>
      </c>
      <c r="D13" s="802">
        <f t="shared" ref="D13:D26" si="0">$D$4*C13</f>
        <v>79521466.551773667</v>
      </c>
      <c r="E13" s="1032">
        <v>5540.3616439985863</v>
      </c>
      <c r="F13" s="827"/>
      <c r="G13" s="1203">
        <v>18.592899584196999</v>
      </c>
      <c r="H13" s="1033">
        <v>0</v>
      </c>
      <c r="I13" s="1034">
        <v>0.51</v>
      </c>
      <c r="J13" s="792">
        <f t="shared" ref="J13:J27" si="1">(E13+F13)-G13</f>
        <v>5521.7687444143894</v>
      </c>
      <c r="K13" s="1363">
        <f>D13/(J13*10^6)</f>
        <v>1.4401448201215335E-2</v>
      </c>
      <c r="L13" s="1364"/>
      <c r="M13" s="1039">
        <v>5830.5112259999996</v>
      </c>
      <c r="N13" s="1040">
        <v>28196.110779450977</v>
      </c>
      <c r="O13" s="1041">
        <v>0.51</v>
      </c>
      <c r="P13" s="748"/>
    </row>
    <row r="14" spans="1:16" s="756" customFormat="1" ht="15.5" thickBot="1">
      <c r="A14" s="774" t="s">
        <v>2087</v>
      </c>
      <c r="B14" s="481" t="s">
        <v>2809</v>
      </c>
      <c r="C14" s="778"/>
      <c r="D14" s="1361"/>
      <c r="E14" s="1035"/>
      <c r="F14" s="827"/>
      <c r="G14" s="828"/>
      <c r="H14" s="1036"/>
      <c r="I14" s="1036"/>
      <c r="J14" s="792">
        <f t="shared" si="1"/>
        <v>0</v>
      </c>
      <c r="K14" s="1365"/>
      <c r="L14" s="817">
        <f>N14</f>
        <v>2.9779385999700096</v>
      </c>
      <c r="M14" s="1366">
        <f>K13*M13*10^6</f>
        <v>83967805.407843515</v>
      </c>
      <c r="N14" s="813">
        <f>M14/((N13+O13)*10^3)</f>
        <v>2.9779385999700096</v>
      </c>
      <c r="O14" s="1115"/>
      <c r="P14" s="1101" t="s">
        <v>2207</v>
      </c>
    </row>
    <row r="15" spans="1:16" s="756" customFormat="1" ht="13">
      <c r="A15" s="774" t="s">
        <v>584</v>
      </c>
      <c r="B15" s="481" t="s">
        <v>2810</v>
      </c>
      <c r="C15" s="775">
        <f t="shared" ref="C15:C26" si="2">M117</f>
        <v>4.8758263555490701E-4</v>
      </c>
      <c r="D15" s="802">
        <f t="shared" si="0"/>
        <v>534584.53021857364</v>
      </c>
      <c r="E15" s="1032">
        <v>56.223340480992299</v>
      </c>
      <c r="F15" s="827"/>
      <c r="G15" s="828">
        <v>0</v>
      </c>
      <c r="H15" s="1033">
        <v>0</v>
      </c>
      <c r="I15" s="1034">
        <v>0</v>
      </c>
      <c r="J15" s="792">
        <f t="shared" si="1"/>
        <v>56.223340480992299</v>
      </c>
      <c r="K15" s="816">
        <f>D15/(J15*10^6)</f>
        <v>9.5082313794446847E-3</v>
      </c>
      <c r="L15" s="1364"/>
      <c r="N15" s="782"/>
      <c r="O15" s="749"/>
      <c r="P15" s="748"/>
    </row>
    <row r="16" spans="1:16" s="756" customFormat="1" ht="13">
      <c r="A16" s="774" t="s">
        <v>1161</v>
      </c>
      <c r="B16" s="481" t="s">
        <v>2811</v>
      </c>
      <c r="C16" s="775">
        <f t="shared" si="2"/>
        <v>0.15843819722103017</v>
      </c>
      <c r="D16" s="802">
        <f t="shared" si="0"/>
        <v>173711291.28437585</v>
      </c>
      <c r="E16" s="1032">
        <v>12514.674364582601</v>
      </c>
      <c r="F16" s="827"/>
      <c r="G16" s="1338">
        <v>111.98929543109999</v>
      </c>
      <c r="H16" s="1339">
        <v>42762.466156253002</v>
      </c>
      <c r="I16" s="1340">
        <v>35.951999999999998</v>
      </c>
      <c r="J16" s="792">
        <f t="shared" si="1"/>
        <v>12402.685069151501</v>
      </c>
      <c r="K16" s="1364"/>
      <c r="L16" s="815">
        <f t="shared" ref="L16:L25" si="3">D16/((I16+H16)*10^3)</f>
        <v>4.0588250399856429</v>
      </c>
      <c r="N16" s="751"/>
      <c r="O16" s="779"/>
      <c r="P16" s="748"/>
    </row>
    <row r="17" spans="1:16" s="756" customFormat="1" ht="13">
      <c r="A17" s="774" t="s">
        <v>1162</v>
      </c>
      <c r="B17" s="481" t="s">
        <v>2812</v>
      </c>
      <c r="C17" s="775">
        <f t="shared" si="2"/>
        <v>8.2348938732870261E-2</v>
      </c>
      <c r="D17" s="802">
        <f t="shared" si="0"/>
        <v>90287195.474893302</v>
      </c>
      <c r="E17" s="1032">
        <v>7043.3982366778009</v>
      </c>
      <c r="F17" s="827"/>
      <c r="G17" s="1338">
        <v>131.62874431302001</v>
      </c>
      <c r="H17" s="1339">
        <v>20378.812427954403</v>
      </c>
      <c r="I17" s="1340">
        <v>72.162000000000006</v>
      </c>
      <c r="J17" s="792">
        <f t="shared" si="1"/>
        <v>6911.7694923647805</v>
      </c>
      <c r="K17" s="1364"/>
      <c r="L17" s="815">
        <f t="shared" si="3"/>
        <v>4.4148114209893041</v>
      </c>
      <c r="N17" s="751"/>
      <c r="O17" s="779"/>
      <c r="P17" s="748"/>
    </row>
    <row r="18" spans="1:16" s="756" customFormat="1" ht="13">
      <c r="A18" s="774" t="s">
        <v>1163</v>
      </c>
      <c r="B18" s="481" t="s">
        <v>2813</v>
      </c>
      <c r="C18" s="775">
        <f t="shared" si="2"/>
        <v>8.4785165008404439E-2</v>
      </c>
      <c r="D18" s="802">
        <f t="shared" si="0"/>
        <v>92958268.610076606</v>
      </c>
      <c r="E18" s="1037">
        <v>7651.5166691183322</v>
      </c>
      <c r="F18" s="827"/>
      <c r="G18" s="1338">
        <v>58.469260020572001</v>
      </c>
      <c r="H18" s="1341">
        <v>19458.7621271916</v>
      </c>
      <c r="I18" s="1342">
        <v>0</v>
      </c>
      <c r="J18" s="792">
        <f t="shared" si="1"/>
        <v>7593.0474090977605</v>
      </c>
      <c r="K18" s="1364"/>
      <c r="L18" s="815">
        <f t="shared" si="3"/>
        <v>4.7771933282527295</v>
      </c>
      <c r="N18" s="751"/>
      <c r="O18" s="779"/>
      <c r="P18" s="748"/>
    </row>
    <row r="19" spans="1:16" s="756" customFormat="1" ht="13">
      <c r="A19" s="774" t="s">
        <v>1164</v>
      </c>
      <c r="B19" s="481" t="s">
        <v>2814</v>
      </c>
      <c r="C19" s="775">
        <f t="shared" si="2"/>
        <v>5.488667565685746E-2</v>
      </c>
      <c r="D19" s="802">
        <f t="shared" si="0"/>
        <v>60177630.583352044</v>
      </c>
      <c r="E19" s="1037">
        <v>5154.7846386339234</v>
      </c>
      <c r="F19" s="827"/>
      <c r="G19" s="1338">
        <v>34.835888022363001</v>
      </c>
      <c r="H19" s="1341">
        <v>11961.491480184199</v>
      </c>
      <c r="I19" s="1342">
        <v>0</v>
      </c>
      <c r="J19" s="792">
        <f t="shared" si="1"/>
        <v>5119.9487506115602</v>
      </c>
      <c r="K19" s="1364"/>
      <c r="L19" s="815">
        <f t="shared" si="3"/>
        <v>5.0309470757091024</v>
      </c>
      <c r="N19" s="751"/>
      <c r="O19" s="779"/>
      <c r="P19" s="748"/>
    </row>
    <row r="20" spans="1:16" s="756" customFormat="1" ht="13">
      <c r="A20" s="774" t="s">
        <v>1165</v>
      </c>
      <c r="B20" s="481" t="s">
        <v>2815</v>
      </c>
      <c r="C20" s="775">
        <f t="shared" si="2"/>
        <v>6.6570442969133961E-2</v>
      </c>
      <c r="D20" s="802">
        <f t="shared" si="0"/>
        <v>72987687.390867487</v>
      </c>
      <c r="E20" s="1037">
        <v>5921.9079677060172</v>
      </c>
      <c r="F20" s="827"/>
      <c r="G20" s="1338">
        <v>2.148167116097</v>
      </c>
      <c r="H20" s="1341">
        <v>11970.573258242301</v>
      </c>
      <c r="I20" s="1342">
        <v>0</v>
      </c>
      <c r="J20" s="792">
        <f t="shared" si="1"/>
        <v>5919.7598005899199</v>
      </c>
      <c r="K20" s="1364"/>
      <c r="L20" s="815">
        <f t="shared" si="3"/>
        <v>6.0972591551212512</v>
      </c>
      <c r="N20" s="780"/>
      <c r="O20" s="781"/>
      <c r="P20" s="748"/>
    </row>
    <row r="21" spans="1:16" s="756" customFormat="1" ht="13">
      <c r="A21" s="774" t="s">
        <v>1166</v>
      </c>
      <c r="B21" s="481" t="s">
        <v>2816</v>
      </c>
      <c r="C21" s="775">
        <f t="shared" si="2"/>
        <v>9.036902522756953E-4</v>
      </c>
      <c r="D21" s="802">
        <f t="shared" si="0"/>
        <v>990804.00684512232</v>
      </c>
      <c r="E21" s="1038">
        <v>95.981247449251399</v>
      </c>
      <c r="F21" s="1038">
        <v>87.389652595392604</v>
      </c>
      <c r="G21" s="1338">
        <v>0</v>
      </c>
      <c r="H21" s="1341">
        <v>293.83783247494699</v>
      </c>
      <c r="I21" s="1342">
        <v>238.488</v>
      </c>
      <c r="J21" s="792">
        <f t="shared" si="1"/>
        <v>183.370900044644</v>
      </c>
      <c r="K21" s="1364"/>
      <c r="L21" s="815">
        <f t="shared" si="3"/>
        <v>1.86127357794862</v>
      </c>
      <c r="N21" s="782"/>
      <c r="O21" s="783"/>
      <c r="P21" s="748"/>
    </row>
    <row r="22" spans="1:16" s="756" customFormat="1" ht="13">
      <c r="A22" s="774" t="s">
        <v>1167</v>
      </c>
      <c r="B22" s="481" t="s">
        <v>2817</v>
      </c>
      <c r="C22" s="775">
        <f t="shared" si="2"/>
        <v>1.8800879927839643E-3</v>
      </c>
      <c r="D22" s="802">
        <f t="shared" si="0"/>
        <v>2061324.3440225332</v>
      </c>
      <c r="E22" s="1038">
        <v>416.52306694598417</v>
      </c>
      <c r="F22" s="1038">
        <v>209.95141272049975</v>
      </c>
      <c r="G22" s="1338">
        <v>0</v>
      </c>
      <c r="H22" s="1341">
        <v>1071.3825210661905</v>
      </c>
      <c r="I22" s="1342">
        <v>1194.4179999999999</v>
      </c>
      <c r="J22" s="792">
        <f t="shared" si="1"/>
        <v>626.47447966648394</v>
      </c>
      <c r="K22" s="1364"/>
      <c r="L22" s="815">
        <f t="shared" si="3"/>
        <v>0.90975543736416864</v>
      </c>
      <c r="N22" s="782"/>
      <c r="O22" s="783"/>
      <c r="P22" s="748"/>
    </row>
    <row r="23" spans="1:16" s="756" customFormat="1" ht="13">
      <c r="A23" s="774" t="s">
        <v>1168</v>
      </c>
      <c r="B23" s="481" t="s">
        <v>2818</v>
      </c>
      <c r="C23" s="775">
        <f t="shared" si="2"/>
        <v>4.3111881672037809E-3</v>
      </c>
      <c r="D23" s="802">
        <f t="shared" si="0"/>
        <v>4726777.2332080379</v>
      </c>
      <c r="E23" s="1038">
        <v>1927.4217044865136</v>
      </c>
      <c r="F23" s="1038">
        <v>535.92002153881651</v>
      </c>
      <c r="G23" s="1338">
        <v>0</v>
      </c>
      <c r="H23" s="1341">
        <v>3819.9697398027993</v>
      </c>
      <c r="I23" s="1342">
        <v>7996.9960000000001</v>
      </c>
      <c r="J23" s="792">
        <f t="shared" si="1"/>
        <v>2463.34172602533</v>
      </c>
      <c r="K23" s="1364"/>
      <c r="L23" s="815">
        <f t="shared" si="3"/>
        <v>0.39999923307613122</v>
      </c>
      <c r="N23" s="780"/>
      <c r="O23" s="781"/>
      <c r="P23" s="748"/>
    </row>
    <row r="24" spans="1:16" s="756" customFormat="1" ht="13">
      <c r="A24" s="774" t="s">
        <v>1169</v>
      </c>
      <c r="B24" s="481" t="s">
        <v>2819</v>
      </c>
      <c r="C24" s="775">
        <f t="shared" si="2"/>
        <v>1.6123730307797846E-2</v>
      </c>
      <c r="D24" s="802">
        <f t="shared" si="0"/>
        <v>17678022.479523763</v>
      </c>
      <c r="E24" s="1032">
        <v>1803.6217157521851</v>
      </c>
      <c r="F24" s="828"/>
      <c r="G24" s="1338">
        <v>26.287482731404999</v>
      </c>
      <c r="H24" s="1343">
        <v>8350.1591458027797</v>
      </c>
      <c r="I24" s="1343">
        <v>0.40200000000000002</v>
      </c>
      <c r="J24" s="792">
        <f t="shared" si="1"/>
        <v>1777.3342330207802</v>
      </c>
      <c r="K24" s="1364"/>
      <c r="L24" s="815">
        <f t="shared" si="3"/>
        <v>2.1169861726489145</v>
      </c>
      <c r="N24" s="784"/>
      <c r="O24" s="784"/>
      <c r="P24" s="785"/>
    </row>
    <row r="25" spans="1:16" s="756" customFormat="1" ht="13">
      <c r="A25" s="774" t="s">
        <v>1170</v>
      </c>
      <c r="B25" s="481" t="s">
        <v>2820</v>
      </c>
      <c r="C25" s="775">
        <f t="shared" si="2"/>
        <v>1.2753167493852406E-2</v>
      </c>
      <c r="D25" s="802">
        <f t="shared" si="0"/>
        <v>13982544.816717807</v>
      </c>
      <c r="E25" s="1032">
        <v>1493.2413571287309</v>
      </c>
      <c r="F25" s="828"/>
      <c r="G25" s="1338">
        <v>35.250478017610995</v>
      </c>
      <c r="H25" s="1343">
        <v>5090.3381812117095</v>
      </c>
      <c r="I25" s="1343">
        <v>18.39</v>
      </c>
      <c r="J25" s="792">
        <f t="shared" si="1"/>
        <v>1457.99087911112</v>
      </c>
      <c r="K25" s="1364"/>
      <c r="L25" s="815">
        <f t="shared" si="3"/>
        <v>2.7369913451534171</v>
      </c>
      <c r="M25" s="779"/>
      <c r="N25" s="749"/>
      <c r="O25" s="786"/>
      <c r="P25" s="748"/>
    </row>
    <row r="26" spans="1:16" s="756" customFormat="1" ht="13">
      <c r="A26" s="774" t="s">
        <v>1171</v>
      </c>
      <c r="B26" s="481" t="s">
        <v>2821</v>
      </c>
      <c r="C26" s="775">
        <f t="shared" si="2"/>
        <v>4.0196211402571801E-3</v>
      </c>
      <c r="D26" s="1127">
        <f t="shared" si="0"/>
        <v>4407103.7855470367</v>
      </c>
      <c r="E26" s="1032">
        <v>552.69713695108601</v>
      </c>
      <c r="F26" s="828"/>
      <c r="G26" s="1338">
        <v>0</v>
      </c>
      <c r="H26" s="1339">
        <v>0</v>
      </c>
      <c r="I26" s="1340">
        <v>0</v>
      </c>
      <c r="J26" s="792">
        <f t="shared" si="1"/>
        <v>552.69713695108601</v>
      </c>
      <c r="K26" s="816">
        <f>D26/(J26*10^6)</f>
        <v>7.9738133073359255E-3</v>
      </c>
      <c r="L26" s="1364"/>
      <c r="M26" s="749"/>
      <c r="N26" s="749"/>
      <c r="O26" s="786"/>
      <c r="P26" s="748"/>
    </row>
    <row r="27" spans="1:16" s="756" customFormat="1" ht="13">
      <c r="A27" s="774" t="s">
        <v>1173</v>
      </c>
      <c r="B27" s="787" t="s">
        <v>76</v>
      </c>
      <c r="C27" s="775"/>
      <c r="D27" s="1127"/>
      <c r="E27" s="788"/>
      <c r="F27" s="828"/>
      <c r="G27" s="1338"/>
      <c r="H27" s="1344"/>
      <c r="I27" s="1345"/>
      <c r="J27" s="792">
        <f t="shared" si="1"/>
        <v>0</v>
      </c>
      <c r="K27" s="776"/>
      <c r="L27" s="777"/>
      <c r="M27" s="749"/>
      <c r="N27" s="749"/>
      <c r="O27" s="786"/>
      <c r="P27" s="748"/>
    </row>
    <row r="28" spans="1:16" s="756" customFormat="1" ht="13">
      <c r="A28" s="774">
        <v>2</v>
      </c>
      <c r="B28" s="484" t="s">
        <v>197</v>
      </c>
      <c r="C28" s="789">
        <f t="shared" ref="C28:J28" si="4">SUM(C12:C27)</f>
        <v>0.99999999999999956</v>
      </c>
      <c r="D28" s="1362">
        <f t="shared" si="4"/>
        <v>1096397802.6210361</v>
      </c>
      <c r="E28" s="790">
        <f t="shared" si="4"/>
        <v>78436.738469999516</v>
      </c>
      <c r="F28" s="1117">
        <f t="shared" si="4"/>
        <v>833.26108685470888</v>
      </c>
      <c r="G28" s="1102">
        <f t="shared" si="4"/>
        <v>2206.3328225271653</v>
      </c>
      <c r="H28" s="790">
        <f t="shared" si="4"/>
        <v>125157.79287018393</v>
      </c>
      <c r="I28" s="790">
        <f t="shared" si="4"/>
        <v>9557.33</v>
      </c>
      <c r="J28" s="1102">
        <f t="shared" si="4"/>
        <v>77063.666734327053</v>
      </c>
      <c r="K28" s="791"/>
      <c r="L28" s="749"/>
      <c r="M28" s="749"/>
      <c r="N28" s="749"/>
      <c r="O28" s="749"/>
      <c r="P28" s="748"/>
    </row>
    <row r="29" spans="1:16" s="756" customFormat="1" ht="13">
      <c r="A29" s="774">
        <f t="shared" ref="A29:A34" si="5">A28+1</f>
        <v>3</v>
      </c>
      <c r="B29" s="749"/>
      <c r="C29" s="749"/>
      <c r="E29" s="749"/>
      <c r="F29" s="749"/>
      <c r="G29" s="749"/>
      <c r="H29" s="749"/>
      <c r="I29" s="749"/>
      <c r="J29" s="792"/>
      <c r="K29" s="792"/>
      <c r="M29" s="748"/>
    </row>
    <row r="30" spans="1:16" s="756" customFormat="1" ht="13">
      <c r="A30" s="774">
        <f t="shared" si="5"/>
        <v>4</v>
      </c>
      <c r="B30" s="749"/>
      <c r="C30" s="749"/>
      <c r="D30" s="749"/>
      <c r="E30" s="749"/>
      <c r="G30" s="1103"/>
      <c r="I30" s="830"/>
      <c r="J30" s="793"/>
      <c r="K30" s="793"/>
      <c r="L30" s="793"/>
      <c r="M30" s="748"/>
    </row>
    <row r="31" spans="1:16" s="756" customFormat="1" ht="15.5">
      <c r="A31" s="774">
        <f t="shared" si="5"/>
        <v>5</v>
      </c>
      <c r="B31" s="1118" t="s">
        <v>2208</v>
      </c>
      <c r="C31" s="749"/>
      <c r="D31" s="749"/>
      <c r="E31" s="749"/>
      <c r="F31" s="749"/>
      <c r="G31" s="749"/>
      <c r="H31" s="749"/>
      <c r="I31" s="749"/>
      <c r="J31" s="749"/>
      <c r="K31" s="749"/>
      <c r="L31" s="749"/>
      <c r="M31" s="748"/>
    </row>
    <row r="32" spans="1:16" s="756" customFormat="1" ht="13">
      <c r="A32" s="774">
        <f t="shared" si="5"/>
        <v>6</v>
      </c>
      <c r="B32" s="749"/>
      <c r="C32" s="758" t="s">
        <v>359</v>
      </c>
      <c r="D32" s="758" t="s">
        <v>343</v>
      </c>
      <c r="E32" s="758" t="s">
        <v>344</v>
      </c>
      <c r="F32" s="758" t="s">
        <v>345</v>
      </c>
      <c r="G32" s="758" t="s">
        <v>346</v>
      </c>
      <c r="H32" s="758" t="s">
        <v>347</v>
      </c>
      <c r="I32" s="758" t="s">
        <v>348</v>
      </c>
      <c r="J32" s="758" t="s">
        <v>537</v>
      </c>
      <c r="K32" s="749"/>
      <c r="M32" s="748"/>
    </row>
    <row r="33" spans="1:13" s="767" customFormat="1" ht="25.5">
      <c r="A33" s="774">
        <f t="shared" si="5"/>
        <v>7</v>
      </c>
      <c r="B33" s="763"/>
      <c r="C33" s="794" t="s">
        <v>2088</v>
      </c>
      <c r="D33" s="795" t="s">
        <v>2209</v>
      </c>
      <c r="E33" s="795" t="s">
        <v>2210</v>
      </c>
      <c r="F33" s="1119"/>
      <c r="H33" s="1120" t="s">
        <v>2088</v>
      </c>
      <c r="I33" s="1099" t="s">
        <v>1177</v>
      </c>
      <c r="J33" s="1121" t="s">
        <v>2211</v>
      </c>
      <c r="K33" s="1122"/>
      <c r="L33" s="1122"/>
      <c r="M33" s="1122"/>
    </row>
    <row r="34" spans="1:13" s="756" customFormat="1" ht="13">
      <c r="A34" s="774">
        <f t="shared" si="5"/>
        <v>8</v>
      </c>
      <c r="B34" s="749"/>
      <c r="C34" s="758"/>
      <c r="D34" s="758"/>
      <c r="E34" s="758"/>
      <c r="F34" s="1123"/>
      <c r="K34" s="1123"/>
      <c r="L34" s="1123"/>
      <c r="M34" s="1124"/>
    </row>
    <row r="35" spans="1:13" s="799" customFormat="1" ht="52">
      <c r="A35" s="774">
        <v>9</v>
      </c>
      <c r="B35" s="797" t="s">
        <v>1158</v>
      </c>
      <c r="C35" s="773" t="s">
        <v>2212</v>
      </c>
      <c r="D35" s="797" t="s">
        <v>2213</v>
      </c>
      <c r="E35" s="797" t="s">
        <v>2214</v>
      </c>
      <c r="F35" s="1125"/>
      <c r="G35" s="797" t="s">
        <v>1158</v>
      </c>
      <c r="H35" s="797" t="s">
        <v>2215</v>
      </c>
      <c r="I35" s="797" t="s">
        <v>2216</v>
      </c>
      <c r="J35" s="797" t="s">
        <v>2217</v>
      </c>
      <c r="K35" s="1125"/>
      <c r="L35" s="1126"/>
      <c r="M35" s="1126"/>
    </row>
    <row r="36" spans="1:13" s="803" customFormat="1" ht="14.5">
      <c r="A36" s="800" t="s">
        <v>2089</v>
      </c>
      <c r="B36" s="801" t="s">
        <v>2816</v>
      </c>
      <c r="C36" s="1127">
        <f>D21</f>
        <v>990804.00684512232</v>
      </c>
      <c r="D36" s="1128">
        <f>I21</f>
        <v>238.488</v>
      </c>
      <c r="E36" s="1129">
        <f>C36/D36/10^3</f>
        <v>4.154523526739804</v>
      </c>
      <c r="F36" s="1130"/>
      <c r="G36" s="801" t="s">
        <v>2816</v>
      </c>
      <c r="H36" s="1127">
        <f>D18</f>
        <v>92958268.610076606</v>
      </c>
      <c r="I36" s="1141">
        <f>H18+H21</f>
        <v>19752.599959666546</v>
      </c>
      <c r="J36" s="1367">
        <f>H36/(I36*10^3)</f>
        <v>4.7061282464025505</v>
      </c>
      <c r="K36" s="1131"/>
      <c r="L36" s="1132"/>
      <c r="M36" s="1130"/>
    </row>
    <row r="37" spans="1:13" s="803" customFormat="1" ht="14.5">
      <c r="A37" s="800" t="s">
        <v>2090</v>
      </c>
      <c r="B37" s="801" t="s">
        <v>2817</v>
      </c>
      <c r="C37" s="1127">
        <f>D22</f>
        <v>2061324.3440225332</v>
      </c>
      <c r="D37" s="1128">
        <f>I22</f>
        <v>1194.4179999999999</v>
      </c>
      <c r="E37" s="1129">
        <f>C37/D37/10^3</f>
        <v>1.7257981242936169</v>
      </c>
      <c r="F37" s="1130"/>
      <c r="G37" s="801" t="s">
        <v>2817</v>
      </c>
      <c r="H37" s="1127">
        <f>D19</f>
        <v>60177630.583352044</v>
      </c>
      <c r="I37" s="1141">
        <f>H19+H22</f>
        <v>13032.874001250389</v>
      </c>
      <c r="J37" s="1367">
        <f>H37/(I37*10^3)</f>
        <v>4.6173722371273236</v>
      </c>
      <c r="K37" s="1131"/>
      <c r="L37" s="1132"/>
      <c r="M37" s="1130"/>
    </row>
    <row r="38" spans="1:13" s="803" customFormat="1" ht="14.5">
      <c r="A38" s="800" t="s">
        <v>2091</v>
      </c>
      <c r="B38" s="801" t="s">
        <v>2818</v>
      </c>
      <c r="C38" s="1127">
        <f>D23</f>
        <v>4726777.2332080379</v>
      </c>
      <c r="D38" s="1128">
        <f>I23</f>
        <v>7996.9960000000001</v>
      </c>
      <c r="E38" s="1129">
        <f>C38/D38/10^3</f>
        <v>0.59106910059827944</v>
      </c>
      <c r="F38" s="1130"/>
      <c r="G38" s="801" t="s">
        <v>2818</v>
      </c>
      <c r="H38" s="1127">
        <f>D20</f>
        <v>72987687.390867487</v>
      </c>
      <c r="I38" s="1141">
        <f>H20+H23</f>
        <v>15790.542998045101</v>
      </c>
      <c r="J38" s="1367">
        <f>H38/(I38*10^3)</f>
        <v>4.6222405017929713</v>
      </c>
      <c r="K38" s="1131"/>
      <c r="L38" s="1132"/>
      <c r="M38" s="1130"/>
    </row>
    <row r="39" spans="1:13" s="756" customFormat="1" ht="13">
      <c r="A39" s="800" t="s">
        <v>2092</v>
      </c>
      <c r="B39" s="787" t="s">
        <v>76</v>
      </c>
      <c r="C39" s="758"/>
      <c r="D39" s="758"/>
      <c r="E39" s="758"/>
      <c r="F39" s="758"/>
      <c r="G39" s="787" t="s">
        <v>76</v>
      </c>
      <c r="H39" s="758"/>
      <c r="I39" s="796"/>
      <c r="K39" s="749"/>
      <c r="M39" s="748"/>
    </row>
    <row r="40" spans="1:13" s="756" customFormat="1" ht="13">
      <c r="A40" s="774">
        <v>10</v>
      </c>
      <c r="B40" s="749"/>
      <c r="C40" s="758"/>
      <c r="D40" s="758"/>
      <c r="E40" s="758"/>
      <c r="F40" s="758"/>
      <c r="G40" s="758"/>
      <c r="H40" s="758"/>
      <c r="I40" s="796"/>
      <c r="K40" s="749"/>
      <c r="M40" s="748"/>
    </row>
    <row r="41" spans="1:13" s="756" customFormat="1" ht="15.5">
      <c r="A41" s="774">
        <v>11</v>
      </c>
      <c r="B41" s="805" t="s">
        <v>1635</v>
      </c>
      <c r="C41" s="749"/>
      <c r="D41" s="749"/>
      <c r="E41" s="749"/>
      <c r="G41" s="749"/>
      <c r="H41" s="749"/>
      <c r="I41" s="749"/>
      <c r="J41" s="749"/>
      <c r="K41" s="749"/>
      <c r="L41" s="749"/>
      <c r="M41" s="748"/>
    </row>
    <row r="42" spans="1:13" s="756" customFormat="1" ht="13">
      <c r="A42" s="774">
        <v>12</v>
      </c>
      <c r="B42" s="749"/>
      <c r="C42" s="758" t="s">
        <v>359</v>
      </c>
      <c r="D42" s="758" t="s">
        <v>343</v>
      </c>
      <c r="E42" s="758" t="s">
        <v>344</v>
      </c>
      <c r="F42" s="758" t="s">
        <v>345</v>
      </c>
      <c r="G42" s="758" t="s">
        <v>346</v>
      </c>
      <c r="H42" s="758" t="s">
        <v>347</v>
      </c>
      <c r="I42" s="758" t="s">
        <v>348</v>
      </c>
      <c r="J42" s="758" t="s">
        <v>537</v>
      </c>
      <c r="K42" s="758" t="s">
        <v>954</v>
      </c>
      <c r="L42" s="758" t="s">
        <v>967</v>
      </c>
      <c r="M42" s="758" t="s">
        <v>970</v>
      </c>
    </row>
    <row r="43" spans="1:13" s="767" customFormat="1" ht="37.5">
      <c r="A43" s="806">
        <v>13</v>
      </c>
      <c r="B43" s="763"/>
      <c r="C43" s="795" t="s">
        <v>2218</v>
      </c>
      <c r="D43" s="795" t="s">
        <v>2219</v>
      </c>
      <c r="E43" s="1104" t="s">
        <v>2220</v>
      </c>
      <c r="G43" s="1104" t="s">
        <v>2221</v>
      </c>
      <c r="H43" s="1104" t="s">
        <v>2222</v>
      </c>
      <c r="I43" s="1104" t="s">
        <v>2223</v>
      </c>
      <c r="J43" s="1104" t="s">
        <v>2093</v>
      </c>
      <c r="K43" s="1104" t="s">
        <v>2094</v>
      </c>
      <c r="L43" s="764"/>
      <c r="M43" s="795" t="s">
        <v>2221</v>
      </c>
    </row>
    <row r="44" spans="1:13" s="756" customFormat="1" ht="13">
      <c r="A44" s="774">
        <v>14</v>
      </c>
      <c r="B44" s="749"/>
      <c r="C44" s="759"/>
      <c r="D44" s="807" t="s">
        <v>2196</v>
      </c>
      <c r="E44" s="1105"/>
      <c r="G44" s="791"/>
      <c r="H44" s="808" t="s">
        <v>2197</v>
      </c>
      <c r="I44" s="808" t="s">
        <v>2224</v>
      </c>
      <c r="J44" s="808"/>
      <c r="K44" s="808"/>
      <c r="L44" s="759"/>
      <c r="M44" s="759"/>
    </row>
    <row r="45" spans="1:13" s="762" customFormat="1" ht="65">
      <c r="A45" s="774">
        <v>15</v>
      </c>
      <c r="B45" s="771" t="str">
        <f>B11</f>
        <v>CPUC Rate Group</v>
      </c>
      <c r="C45" s="773" t="s">
        <v>2225</v>
      </c>
      <c r="D45" s="773" t="s">
        <v>2095</v>
      </c>
      <c r="E45" s="773" t="s">
        <v>2096</v>
      </c>
      <c r="G45" s="773" t="s">
        <v>1178</v>
      </c>
      <c r="H45" s="773" t="s">
        <v>2097</v>
      </c>
      <c r="I45" s="798" t="s">
        <v>2098</v>
      </c>
      <c r="J45" s="773" t="s">
        <v>2099</v>
      </c>
      <c r="K45" s="798" t="s">
        <v>2100</v>
      </c>
      <c r="L45" s="809" t="s">
        <v>168</v>
      </c>
      <c r="M45" s="1266" t="s">
        <v>2491</v>
      </c>
    </row>
    <row r="46" spans="1:13" s="756" customFormat="1" ht="13.5" thickBot="1">
      <c r="A46" s="774" t="s">
        <v>2101</v>
      </c>
      <c r="B46" s="481" t="s">
        <v>2807</v>
      </c>
      <c r="C46" s="1368">
        <f>D46+E46</f>
        <v>482373101.52961409</v>
      </c>
      <c r="D46" s="1127">
        <f>D12-E46</f>
        <v>482373101.52961409</v>
      </c>
      <c r="E46" s="810"/>
      <c r="G46" s="810">
        <f>D46/(J12*10^6)</f>
        <v>1.8218395587793888E-2</v>
      </c>
      <c r="H46" s="810"/>
      <c r="I46" s="811"/>
      <c r="J46" s="1370"/>
      <c r="K46" s="810"/>
      <c r="L46" s="810"/>
      <c r="M46" s="808"/>
    </row>
    <row r="47" spans="1:13" s="756" customFormat="1" ht="13.5" thickBot="1">
      <c r="A47" s="774" t="s">
        <v>2102</v>
      </c>
      <c r="B47" s="481" t="s">
        <v>2808</v>
      </c>
      <c r="C47" s="1127">
        <f>D47+E47</f>
        <v>79521466.551773667</v>
      </c>
      <c r="D47" s="1127">
        <f>D13-E47</f>
        <v>79519947.803087682</v>
      </c>
      <c r="E47" s="802">
        <f>I47*I13*10^3</f>
        <v>1518.7486859847049</v>
      </c>
      <c r="G47" s="810">
        <f>D47/(J13*10^6)</f>
        <v>1.4401173153715831E-2</v>
      </c>
      <c r="H47" s="1371">
        <f>(M14-E47)/N13/10^3</f>
        <v>2.9779385999700092</v>
      </c>
      <c r="I47" s="813">
        <f>MIN($I$54,L14)</f>
        <v>2.9779385999700096</v>
      </c>
      <c r="J47" s="813"/>
      <c r="K47" s="813"/>
      <c r="L47" s="1101" t="s">
        <v>2226</v>
      </c>
      <c r="M47" s="1372">
        <f>$D47/(J13*10^6)</f>
        <v>1.4401173153715831E-2</v>
      </c>
    </row>
    <row r="48" spans="1:13" s="756" customFormat="1" ht="13.5" thickBot="1">
      <c r="A48" s="774" t="s">
        <v>2103</v>
      </c>
      <c r="B48" s="481" t="s">
        <v>2810</v>
      </c>
      <c r="C48" s="1127">
        <f t="shared" ref="C48:C59" si="6">D48+E48</f>
        <v>534584.53021857364</v>
      </c>
      <c r="D48" s="1127">
        <f>D15-E48</f>
        <v>534584.53021857364</v>
      </c>
      <c r="E48" s="810"/>
      <c r="G48" s="810">
        <f>D48/(J15*10^6)</f>
        <v>9.5082313794446847E-3</v>
      </c>
      <c r="H48" s="810"/>
      <c r="I48" s="811"/>
      <c r="J48" s="1370"/>
      <c r="K48" s="810"/>
      <c r="L48" s="810"/>
      <c r="M48" s="1373"/>
    </row>
    <row r="49" spans="1:13" s="756" customFormat="1" ht="13">
      <c r="A49" s="774" t="s">
        <v>2104</v>
      </c>
      <c r="B49" s="481" t="s">
        <v>2811</v>
      </c>
      <c r="C49" s="1127">
        <f t="shared" si="6"/>
        <v>173711291.28437585</v>
      </c>
      <c r="D49" s="1127">
        <f>D16-E49</f>
        <v>173565368.40653828</v>
      </c>
      <c r="E49" s="802">
        <f>I49*I16*10^3</f>
        <v>145922.87783756381</v>
      </c>
      <c r="G49" s="802"/>
      <c r="H49" s="814">
        <f t="shared" ref="H49:H58" si="7">D49/H16/10^3</f>
        <v>4.058825039985642</v>
      </c>
      <c r="I49" s="815">
        <f>MIN($I$54,L16)</f>
        <v>4.0588250399856429</v>
      </c>
      <c r="J49" s="1370"/>
      <c r="K49" s="810"/>
      <c r="L49" s="1441" t="s">
        <v>2227</v>
      </c>
      <c r="M49" s="1374">
        <f>($D49+D50)/((J16+J17)*10^6)</f>
        <v>1.3645364113973962E-2</v>
      </c>
    </row>
    <row r="50" spans="1:13" s="756" customFormat="1" ht="13.5" thickBot="1">
      <c r="A50" s="774" t="s">
        <v>2105</v>
      </c>
      <c r="B50" s="481" t="s">
        <v>2812</v>
      </c>
      <c r="C50" s="1127">
        <f t="shared" si="6"/>
        <v>90287195.474893302</v>
      </c>
      <c r="D50" s="1127">
        <f>D17-E50</f>
        <v>89987396.748156697</v>
      </c>
      <c r="E50" s="802">
        <f>I50*I17*10^3</f>
        <v>299798.72673659778</v>
      </c>
      <c r="G50" s="802"/>
      <c r="H50" s="814">
        <f t="shared" si="7"/>
        <v>4.4157331084080989</v>
      </c>
      <c r="I50" s="815">
        <f>MIN($I$54,L17)</f>
        <v>4.154523526739804</v>
      </c>
      <c r="J50" s="1370"/>
      <c r="K50" s="810"/>
      <c r="L50" s="1442"/>
      <c r="M50" s="1375">
        <f>M49</f>
        <v>1.3645364113973962E-2</v>
      </c>
    </row>
    <row r="51" spans="1:13" s="756" customFormat="1" ht="13">
      <c r="A51" s="774" t="s">
        <v>2106</v>
      </c>
      <c r="B51" s="481" t="s">
        <v>2813</v>
      </c>
      <c r="C51" s="1127">
        <f t="shared" si="6"/>
        <v>91575430.086804569</v>
      </c>
      <c r="D51" s="1127">
        <f>J36*H18*1000</f>
        <v>91575430.086804569</v>
      </c>
      <c r="E51" s="810"/>
      <c r="G51" s="802"/>
      <c r="H51" s="814">
        <f t="shared" si="7"/>
        <v>4.7061282464025505</v>
      </c>
      <c r="I51" s="811"/>
      <c r="J51" s="1370"/>
      <c r="K51" s="810"/>
      <c r="L51" s="810"/>
      <c r="M51" s="1372">
        <f>$D51/(J18*10^6)</f>
        <v>1.2060431754591925E-2</v>
      </c>
    </row>
    <row r="52" spans="1:13" s="756" customFormat="1" ht="13">
      <c r="A52" s="774" t="s">
        <v>2107</v>
      </c>
      <c r="B52" s="481" t="s">
        <v>2814</v>
      </c>
      <c r="C52" s="1127">
        <f t="shared" si="6"/>
        <v>55230658.675237536</v>
      </c>
      <c r="D52" s="1127">
        <f>J37*H19*1000</f>
        <v>55230658.675237536</v>
      </c>
      <c r="E52" s="810"/>
      <c r="G52" s="802"/>
      <c r="H52" s="814">
        <f t="shared" si="7"/>
        <v>4.6173722371273236</v>
      </c>
      <c r="I52" s="811"/>
      <c r="J52" s="1370"/>
      <c r="K52" s="810"/>
      <c r="L52" s="810"/>
      <c r="M52" s="1372">
        <f>$D52/(J19*10^6)</f>
        <v>1.078734600002401E-2</v>
      </c>
    </row>
    <row r="53" spans="1:13" s="756" customFormat="1" ht="13">
      <c r="A53" s="774" t="s">
        <v>2108</v>
      </c>
      <c r="B53" s="481" t="s">
        <v>2815</v>
      </c>
      <c r="C53" s="1127">
        <f t="shared" si="6"/>
        <v>55330868.543927409</v>
      </c>
      <c r="D53" s="1127">
        <f>J38*H20*1000</f>
        <v>55330868.543927409</v>
      </c>
      <c r="E53" s="810"/>
      <c r="G53" s="802"/>
      <c r="H53" s="814">
        <f t="shared" si="7"/>
        <v>4.6222405017929704</v>
      </c>
      <c r="I53" s="811"/>
      <c r="J53" s="1376"/>
      <c r="K53" s="816"/>
      <c r="L53" s="816"/>
      <c r="M53" s="1372">
        <f>$D53/(J20*10^6)</f>
        <v>9.3468097368432992E-3</v>
      </c>
    </row>
    <row r="54" spans="1:13" s="756" customFormat="1" ht="13">
      <c r="A54" s="774" t="s">
        <v>2109</v>
      </c>
      <c r="B54" s="481" t="s">
        <v>2816</v>
      </c>
      <c r="C54" s="1127">
        <f t="shared" si="6"/>
        <v>2373642.5301171709</v>
      </c>
      <c r="D54" s="1127">
        <f>J36*H21*1000</f>
        <v>1382838.5232720487</v>
      </c>
      <c r="E54" s="802">
        <f>I54*I21*10^3</f>
        <v>990804.00684512232</v>
      </c>
      <c r="G54" s="802"/>
      <c r="H54" s="1133">
        <f>J36</f>
        <v>4.7061282464025505</v>
      </c>
      <c r="I54" s="1134">
        <f>E36</f>
        <v>4.154523526739804</v>
      </c>
      <c r="J54" s="1376"/>
      <c r="K54" s="816"/>
      <c r="L54" s="816"/>
      <c r="M54" s="748"/>
    </row>
    <row r="55" spans="1:13" s="756" customFormat="1" ht="13">
      <c r="A55" s="774" t="s">
        <v>2110</v>
      </c>
      <c r="B55" s="481" t="s">
        <v>2817</v>
      </c>
      <c r="C55" s="1127">
        <f t="shared" si="6"/>
        <v>7008296.2521370407</v>
      </c>
      <c r="D55" s="1127">
        <f>J37*H22*1000</f>
        <v>4946971.9081145078</v>
      </c>
      <c r="E55" s="802">
        <f>I55*I22*10^3</f>
        <v>2061324.3440225334</v>
      </c>
      <c r="G55" s="802"/>
      <c r="H55" s="1133">
        <f>J37</f>
        <v>4.6173722371273236</v>
      </c>
      <c r="I55" s="1134">
        <f>E37</f>
        <v>1.7257981242936169</v>
      </c>
      <c r="J55" s="1376"/>
      <c r="K55" s="816"/>
      <c r="L55" s="816"/>
      <c r="M55" s="748"/>
    </row>
    <row r="56" spans="1:13" s="756" customFormat="1" ht="13.5" thickBot="1">
      <c r="A56" s="774" t="s">
        <v>2111</v>
      </c>
      <c r="B56" s="481" t="s">
        <v>2818</v>
      </c>
      <c r="C56" s="1127">
        <f t="shared" si="6"/>
        <v>22383596.080148093</v>
      </c>
      <c r="D56" s="1127">
        <f>J38*H23*1000</f>
        <v>17656818.846940055</v>
      </c>
      <c r="E56" s="802">
        <f>I56*I23*10^3</f>
        <v>4726777.2332080388</v>
      </c>
      <c r="G56" s="802"/>
      <c r="H56" s="1133">
        <f>J38</f>
        <v>4.6222405017929713</v>
      </c>
      <c r="I56" s="1134">
        <f>E38</f>
        <v>0.59106910059827944</v>
      </c>
      <c r="J56" s="1376"/>
      <c r="K56" s="816"/>
      <c r="L56" s="816"/>
      <c r="M56" s="748"/>
    </row>
    <row r="57" spans="1:13" s="756" customFormat="1" ht="13.5" thickBot="1">
      <c r="A57" s="774" t="s">
        <v>2112</v>
      </c>
      <c r="B57" s="481" t="s">
        <v>2819</v>
      </c>
      <c r="C57" s="1127">
        <f t="shared" si="6"/>
        <v>17678022.479523763</v>
      </c>
      <c r="D57" s="1127">
        <f>D24-E57</f>
        <v>17677171.45108236</v>
      </c>
      <c r="E57" s="802">
        <f>I57*I24*10^3</f>
        <v>851.02844140486366</v>
      </c>
      <c r="G57" s="802"/>
      <c r="H57" s="1133">
        <f t="shared" si="7"/>
        <v>2.116986172648915</v>
      </c>
      <c r="I57" s="1134">
        <f>MIN($I$54,L24)</f>
        <v>2.1169861726489145</v>
      </c>
      <c r="J57" s="817">
        <f>H57*0.746</f>
        <v>1.5792716847960906</v>
      </c>
      <c r="K57" s="1377">
        <f>I57*0.746</f>
        <v>1.5792716847960901</v>
      </c>
      <c r="L57" s="1263" t="s">
        <v>2503</v>
      </c>
      <c r="M57" s="808"/>
    </row>
    <row r="58" spans="1:13" s="756" customFormat="1" ht="13">
      <c r="A58" s="774" t="s">
        <v>2113</v>
      </c>
      <c r="B58" s="481" t="s">
        <v>2820</v>
      </c>
      <c r="C58" s="1127">
        <f t="shared" si="6"/>
        <v>13982544.816717807</v>
      </c>
      <c r="D58" s="1127">
        <f>D25-E58</f>
        <v>13932211.545880435</v>
      </c>
      <c r="E58" s="802">
        <f>I58*I25*10^3</f>
        <v>50333.270837371347</v>
      </c>
      <c r="G58" s="802"/>
      <c r="H58" s="814">
        <f t="shared" si="7"/>
        <v>2.7369913451534171</v>
      </c>
      <c r="I58" s="815">
        <f>MIN($I$54,L25)</f>
        <v>2.7369913451534171</v>
      </c>
      <c r="J58" s="1370"/>
      <c r="K58" s="810"/>
      <c r="L58" s="810"/>
      <c r="M58" s="808"/>
    </row>
    <row r="59" spans="1:13" s="756" customFormat="1" ht="13">
      <c r="A59" s="774" t="s">
        <v>2114</v>
      </c>
      <c r="B59" s="481" t="s">
        <v>2821</v>
      </c>
      <c r="C59" s="1127">
        <f t="shared" si="6"/>
        <v>4407103.7855470367</v>
      </c>
      <c r="D59" s="1127">
        <f>D26-E59</f>
        <v>4407103.7855470367</v>
      </c>
      <c r="E59" s="810"/>
      <c r="G59" s="810">
        <f>D59/(J26*10^6)</f>
        <v>7.9738133073359255E-3</v>
      </c>
      <c r="H59" s="810"/>
      <c r="I59" s="811"/>
      <c r="J59" s="1370"/>
      <c r="K59" s="810"/>
      <c r="L59" s="810"/>
      <c r="M59" s="808"/>
    </row>
    <row r="60" spans="1:13" s="756" customFormat="1" ht="13">
      <c r="A60" s="774" t="s">
        <v>2115</v>
      </c>
      <c r="B60" s="787" t="s">
        <v>76</v>
      </c>
      <c r="C60" s="1127"/>
      <c r="D60" s="1127"/>
      <c r="E60" s="810"/>
      <c r="G60" s="810"/>
      <c r="H60" s="810"/>
      <c r="I60" s="811"/>
      <c r="J60" s="812"/>
      <c r="K60" s="810"/>
      <c r="L60" s="810"/>
      <c r="M60" s="759"/>
    </row>
    <row r="61" spans="1:13" s="756" customFormat="1" ht="13">
      <c r="A61" s="774">
        <v>17</v>
      </c>
      <c r="B61" s="482" t="s">
        <v>197</v>
      </c>
      <c r="C61" s="1369">
        <f>SUM(C46:C60)</f>
        <v>1096397802.6210361</v>
      </c>
      <c r="D61" s="1369">
        <f>SUM(D46:D60)</f>
        <v>1088120472.3844213</v>
      </c>
      <c r="E61" s="1362">
        <f>SUM(E46:E59)</f>
        <v>8277330.2366146175</v>
      </c>
      <c r="G61" s="818"/>
      <c r="H61" s="818"/>
      <c r="I61" s="818"/>
      <c r="J61" s="818"/>
      <c r="K61" s="746"/>
      <c r="L61" s="746"/>
      <c r="M61" s="759"/>
    </row>
    <row r="62" spans="1:13" s="756" customFormat="1" ht="13">
      <c r="A62" s="774">
        <v>18</v>
      </c>
      <c r="B62" s="749"/>
      <c r="C62" s="749"/>
      <c r="D62" s="749"/>
      <c r="E62" s="749"/>
      <c r="F62" s="749"/>
      <c r="G62" s="749"/>
      <c r="H62" s="749"/>
      <c r="I62" s="746"/>
      <c r="J62" s="746"/>
      <c r="K62" s="746"/>
      <c r="L62" s="746"/>
      <c r="M62" s="748"/>
    </row>
    <row r="63" spans="1:13" s="756" customFormat="1" ht="13">
      <c r="A63" s="774">
        <v>19</v>
      </c>
      <c r="B63" s="819" t="s">
        <v>230</v>
      </c>
      <c r="C63" s="749"/>
      <c r="D63" s="749"/>
      <c r="E63" s="749"/>
      <c r="F63" s="749"/>
      <c r="G63" s="749"/>
      <c r="H63" s="749"/>
      <c r="I63" s="746"/>
      <c r="J63" s="746"/>
      <c r="K63" s="746"/>
      <c r="L63" s="746"/>
      <c r="M63" s="748"/>
    </row>
    <row r="64" spans="1:13" s="756" customFormat="1">
      <c r="A64" s="749"/>
      <c r="B64" s="820" t="s">
        <v>2116</v>
      </c>
      <c r="I64" s="820"/>
      <c r="J64" s="820"/>
      <c r="K64" s="820"/>
      <c r="L64" s="820"/>
      <c r="M64" s="748"/>
    </row>
    <row r="65" spans="1:13" s="756" customFormat="1">
      <c r="A65" s="749"/>
      <c r="B65" s="820" t="s">
        <v>2198</v>
      </c>
      <c r="I65" s="820"/>
      <c r="J65" s="820"/>
      <c r="K65" s="820"/>
      <c r="L65" s="820"/>
      <c r="M65" s="748"/>
    </row>
    <row r="66" spans="1:13" s="756" customFormat="1">
      <c r="A66" s="749"/>
      <c r="B66" s="820" t="s">
        <v>2228</v>
      </c>
      <c r="I66" s="820"/>
      <c r="J66" s="820"/>
      <c r="K66" s="820"/>
      <c r="L66" s="820"/>
      <c r="M66" s="748"/>
    </row>
    <row r="67" spans="1:13" s="756" customFormat="1">
      <c r="A67" s="749"/>
      <c r="B67" s="1106" t="s">
        <v>2229</v>
      </c>
      <c r="C67" s="820"/>
      <c r="D67" s="820"/>
      <c r="E67" s="820"/>
      <c r="F67" s="820"/>
      <c r="G67" s="820"/>
      <c r="I67" s="820"/>
      <c r="J67" s="820"/>
      <c r="K67" s="820"/>
      <c r="L67" s="820"/>
      <c r="M67" s="748"/>
    </row>
    <row r="68" spans="1:13" s="756" customFormat="1">
      <c r="A68" s="749"/>
      <c r="B68" s="1106" t="s">
        <v>2230</v>
      </c>
      <c r="C68" s="820"/>
      <c r="D68" s="820"/>
      <c r="E68" s="820"/>
      <c r="F68" s="820"/>
      <c r="G68" s="820"/>
      <c r="I68" s="820"/>
      <c r="J68" s="820"/>
      <c r="K68" s="820"/>
      <c r="L68" s="820"/>
      <c r="M68" s="748"/>
    </row>
    <row r="69" spans="1:13" s="756" customFormat="1">
      <c r="A69" s="749"/>
      <c r="B69" s="1135" t="s">
        <v>2231</v>
      </c>
      <c r="I69" s="820"/>
      <c r="J69" s="820"/>
      <c r="K69" s="820"/>
      <c r="L69" s="820"/>
      <c r="M69" s="748"/>
    </row>
    <row r="70" spans="1:13" s="756" customFormat="1">
      <c r="A70" s="749"/>
      <c r="B70" s="820" t="s">
        <v>2232</v>
      </c>
      <c r="I70" s="820"/>
      <c r="J70" s="820"/>
      <c r="K70" s="820"/>
      <c r="L70" s="820"/>
      <c r="M70" s="748"/>
    </row>
    <row r="71" spans="1:13" s="756" customFormat="1">
      <c r="A71" s="749"/>
      <c r="B71" s="820" t="s">
        <v>2233</v>
      </c>
      <c r="I71" s="820"/>
      <c r="J71" s="820"/>
      <c r="K71" s="820"/>
      <c r="L71" s="820"/>
      <c r="M71" s="748"/>
    </row>
    <row r="72" spans="1:13" s="756" customFormat="1">
      <c r="A72" s="749"/>
      <c r="B72" s="820" t="s">
        <v>2234</v>
      </c>
      <c r="I72" s="820"/>
      <c r="J72" s="820"/>
      <c r="K72" s="820"/>
      <c r="L72" s="820"/>
      <c r="M72" s="748"/>
    </row>
    <row r="73" spans="1:13" s="756" customFormat="1">
      <c r="A73" s="749"/>
      <c r="B73" s="820" t="s">
        <v>2235</v>
      </c>
      <c r="I73" s="820"/>
      <c r="J73" s="820"/>
      <c r="K73" s="820"/>
      <c r="L73" s="820"/>
      <c r="M73" s="748"/>
    </row>
    <row r="74" spans="1:13" s="756" customFormat="1">
      <c r="A74" s="749"/>
      <c r="B74" s="820" t="s">
        <v>2236</v>
      </c>
      <c r="I74" s="820"/>
      <c r="J74" s="820"/>
      <c r="K74" s="820"/>
      <c r="L74" s="820"/>
      <c r="M74" s="748"/>
    </row>
    <row r="75" spans="1:13" s="756" customFormat="1">
      <c r="A75" s="749"/>
      <c r="B75" s="1106" t="s">
        <v>2237</v>
      </c>
      <c r="I75" s="820"/>
      <c r="J75" s="820"/>
      <c r="K75" s="820"/>
      <c r="L75" s="820"/>
      <c r="M75" s="748"/>
    </row>
    <row r="76" spans="1:13" s="756" customFormat="1">
      <c r="A76" s="749"/>
      <c r="B76" s="1106" t="s">
        <v>2238</v>
      </c>
      <c r="I76" s="820"/>
      <c r="J76" s="820"/>
      <c r="K76" s="820"/>
      <c r="L76" s="820"/>
      <c r="M76" s="748"/>
    </row>
    <row r="77" spans="1:13" s="756" customFormat="1">
      <c r="A77" s="749"/>
      <c r="B77" s="1106" t="s">
        <v>2239</v>
      </c>
      <c r="I77" s="820"/>
      <c r="J77" s="820"/>
      <c r="K77" s="820"/>
      <c r="L77" s="820"/>
      <c r="M77" s="748"/>
    </row>
    <row r="78" spans="1:13" s="756" customFormat="1" ht="15.5">
      <c r="A78" s="749"/>
      <c r="B78" s="820" t="s">
        <v>2240</v>
      </c>
      <c r="I78" s="820"/>
      <c r="J78" s="820"/>
      <c r="K78" s="820"/>
      <c r="L78" s="820"/>
      <c r="M78" s="748"/>
    </row>
    <row r="79" spans="1:13" s="756" customFormat="1">
      <c r="A79" s="749"/>
      <c r="B79" s="820" t="s">
        <v>2241</v>
      </c>
      <c r="I79" s="820"/>
      <c r="J79" s="820"/>
      <c r="K79" s="820"/>
      <c r="L79" s="820"/>
      <c r="M79" s="748"/>
    </row>
    <row r="80" spans="1:13" s="756" customFormat="1">
      <c r="A80" s="749"/>
      <c r="B80" s="820" t="s">
        <v>2242</v>
      </c>
      <c r="I80" s="820"/>
      <c r="J80" s="820"/>
      <c r="K80" s="820"/>
      <c r="L80" s="820"/>
      <c r="M80" s="748"/>
    </row>
    <row r="81" spans="1:13" s="756" customFormat="1">
      <c r="A81" s="749"/>
      <c r="B81" s="746" t="s">
        <v>2492</v>
      </c>
      <c r="I81" s="820"/>
      <c r="J81" s="820"/>
      <c r="K81" s="820"/>
      <c r="L81" s="820"/>
      <c r="M81" s="748"/>
    </row>
    <row r="82" spans="1:13" s="756" customFormat="1">
      <c r="A82" s="749"/>
      <c r="B82" s="746" t="s">
        <v>2493</v>
      </c>
      <c r="I82" s="820"/>
      <c r="J82" s="820"/>
      <c r="K82" s="820"/>
      <c r="L82" s="820"/>
      <c r="M82" s="748"/>
    </row>
    <row r="83" spans="1:13" s="756" customFormat="1">
      <c r="A83" s="749"/>
      <c r="B83" s="1264" t="s">
        <v>2504</v>
      </c>
      <c r="I83" s="820"/>
      <c r="J83" s="820"/>
      <c r="K83" s="820"/>
      <c r="L83" s="820"/>
      <c r="M83" s="748"/>
    </row>
    <row r="84" spans="1:13" s="756" customFormat="1">
      <c r="A84" s="749"/>
      <c r="B84" s="1264" t="s">
        <v>2505</v>
      </c>
      <c r="I84" s="820"/>
      <c r="J84" s="820"/>
      <c r="K84" s="820"/>
      <c r="L84" s="820"/>
      <c r="M84" s="748"/>
    </row>
    <row r="85" spans="1:13" ht="13">
      <c r="A85" s="774">
        <v>20</v>
      </c>
    </row>
    <row r="86" spans="1:13" s="756" customFormat="1" ht="13">
      <c r="A86" s="774">
        <v>21</v>
      </c>
      <c r="B86" s="821"/>
      <c r="C86" s="749"/>
      <c r="D86" s="749"/>
      <c r="M86" s="748"/>
    </row>
    <row r="87" spans="1:13" s="756" customFormat="1" ht="15.5">
      <c r="A87" s="774">
        <v>22</v>
      </c>
      <c r="B87" s="745" t="s">
        <v>1179</v>
      </c>
      <c r="C87" s="749"/>
      <c r="D87" s="749"/>
      <c r="E87" s="749"/>
      <c r="F87" s="749"/>
      <c r="G87" s="749"/>
      <c r="H87" s="749"/>
      <c r="I87" s="749"/>
      <c r="J87" s="749"/>
      <c r="K87" s="749"/>
      <c r="L87" s="749"/>
      <c r="M87" s="748"/>
    </row>
    <row r="88" spans="1:13" ht="13">
      <c r="A88" s="774">
        <v>23</v>
      </c>
    </row>
    <row r="89" spans="1:13" ht="13">
      <c r="A89" s="774">
        <v>24</v>
      </c>
    </row>
    <row r="90" spans="1:13" s="756" customFormat="1" ht="25.5" customHeight="1">
      <c r="A90" s="774">
        <v>25</v>
      </c>
      <c r="B90" s="771" t="str">
        <f>B11</f>
        <v>CPUC Rate Group</v>
      </c>
      <c r="C90" s="822" t="s">
        <v>1180</v>
      </c>
      <c r="D90" s="823"/>
      <c r="E90" s="823"/>
      <c r="F90" s="823"/>
      <c r="G90" s="823"/>
      <c r="H90" s="823"/>
      <c r="I90" s="823"/>
      <c r="J90" s="823"/>
      <c r="K90" s="824"/>
      <c r="L90" s="749"/>
      <c r="M90" s="748"/>
    </row>
    <row r="91" spans="1:13" s="756" customFormat="1" ht="13">
      <c r="A91" s="774" t="s">
        <v>2117</v>
      </c>
      <c r="B91" s="825" t="s">
        <v>2807</v>
      </c>
      <c r="C91" s="826" t="s">
        <v>2822</v>
      </c>
      <c r="D91" s="827"/>
      <c r="E91" s="827"/>
      <c r="F91" s="827"/>
      <c r="G91" s="827"/>
      <c r="H91" s="827"/>
      <c r="I91" s="828"/>
      <c r="J91" s="828"/>
      <c r="K91" s="828"/>
      <c r="L91" s="749"/>
      <c r="M91" s="748"/>
    </row>
    <row r="92" spans="1:13" s="756" customFormat="1" ht="13">
      <c r="A92" s="774"/>
      <c r="B92" s="1107" t="s">
        <v>2823</v>
      </c>
      <c r="C92" s="1261" t="s">
        <v>2824</v>
      </c>
      <c r="D92" s="1261"/>
      <c r="E92" s="1109"/>
      <c r="F92" s="1109"/>
      <c r="G92" s="1109"/>
      <c r="H92" s="1109"/>
      <c r="I92" s="827"/>
      <c r="J92" s="827"/>
      <c r="K92" s="827"/>
      <c r="L92" s="749"/>
      <c r="M92" s="748"/>
    </row>
    <row r="93" spans="1:13" s="756" customFormat="1" ht="13">
      <c r="A93" s="774" t="s">
        <v>2118</v>
      </c>
      <c r="B93" s="481" t="s">
        <v>2808</v>
      </c>
      <c r="C93" s="826" t="s">
        <v>2825</v>
      </c>
      <c r="D93" s="827"/>
      <c r="E93" s="827"/>
      <c r="F93" s="827"/>
      <c r="G93" s="827"/>
      <c r="H93" s="827"/>
      <c r="I93" s="828"/>
      <c r="J93" s="825"/>
      <c r="K93" s="828"/>
      <c r="L93" s="749"/>
      <c r="M93" s="748"/>
    </row>
    <row r="94" spans="1:13" s="756" customFormat="1" ht="13">
      <c r="A94" s="774" t="s">
        <v>2119</v>
      </c>
      <c r="B94" s="825" t="s">
        <v>2810</v>
      </c>
      <c r="C94" s="826" t="s">
        <v>2826</v>
      </c>
      <c r="D94" s="827"/>
      <c r="E94" s="827"/>
      <c r="F94" s="827"/>
      <c r="G94" s="827"/>
      <c r="H94" s="827"/>
      <c r="I94" s="828"/>
      <c r="J94" s="825"/>
      <c r="K94" s="828"/>
      <c r="L94" s="749"/>
      <c r="M94" s="748"/>
    </row>
    <row r="95" spans="1:13" s="756" customFormat="1" ht="13">
      <c r="A95" s="774" t="s">
        <v>2120</v>
      </c>
      <c r="B95" s="481" t="s">
        <v>2811</v>
      </c>
      <c r="C95" s="826" t="s">
        <v>2827</v>
      </c>
      <c r="D95" s="827"/>
      <c r="E95" s="827"/>
      <c r="F95" s="827"/>
      <c r="G95" s="827"/>
      <c r="H95" s="827"/>
      <c r="I95" s="828"/>
      <c r="J95" s="825"/>
      <c r="K95" s="828"/>
      <c r="L95" s="749"/>
      <c r="M95" s="748"/>
    </row>
    <row r="96" spans="1:13" s="756" customFormat="1" ht="13">
      <c r="A96" s="774" t="s">
        <v>2121</v>
      </c>
      <c r="B96" s="825" t="s">
        <v>2812</v>
      </c>
      <c r="C96" s="826" t="s">
        <v>2828</v>
      </c>
      <c r="D96" s="827"/>
      <c r="E96" s="827"/>
      <c r="F96" s="827"/>
      <c r="G96" s="827"/>
      <c r="H96" s="827"/>
      <c r="I96" s="828"/>
      <c r="J96" s="825"/>
      <c r="K96" s="828"/>
      <c r="L96" s="749"/>
      <c r="M96" s="748"/>
    </row>
    <row r="97" spans="1:13" s="756" customFormat="1" ht="13">
      <c r="A97" s="774" t="s">
        <v>2122</v>
      </c>
      <c r="B97" s="1107" t="s">
        <v>2813</v>
      </c>
      <c r="C97" s="1108" t="s">
        <v>2829</v>
      </c>
      <c r="D97" s="1109"/>
      <c r="E97" s="1109"/>
      <c r="F97" s="1109"/>
      <c r="G97" s="1109"/>
      <c r="H97" s="1109"/>
      <c r="I97" s="1109"/>
      <c r="J97" s="1107"/>
      <c r="K97" s="828"/>
      <c r="L97" s="749"/>
      <c r="M97" s="748"/>
    </row>
    <row r="98" spans="1:13" ht="13">
      <c r="A98" s="774" t="s">
        <v>2123</v>
      </c>
      <c r="B98" s="1107" t="s">
        <v>2814</v>
      </c>
      <c r="C98" s="1108" t="s">
        <v>2829</v>
      </c>
      <c r="D98" s="1109"/>
      <c r="E98" s="1109"/>
      <c r="F98" s="1109"/>
      <c r="G98" s="1109"/>
      <c r="H98" s="1109"/>
      <c r="I98" s="1109"/>
      <c r="J98" s="1107"/>
      <c r="K98" s="828"/>
    </row>
    <row r="99" spans="1:13" ht="13">
      <c r="A99" s="774" t="s">
        <v>2124</v>
      </c>
      <c r="B99" s="1107" t="s">
        <v>2815</v>
      </c>
      <c r="C99" s="1108" t="s">
        <v>2829</v>
      </c>
      <c r="D99" s="1109"/>
      <c r="E99" s="1109"/>
      <c r="F99" s="1109"/>
      <c r="G99" s="1109"/>
      <c r="H99" s="1109"/>
      <c r="I99" s="1109"/>
      <c r="J99" s="1107"/>
      <c r="K99" s="828"/>
    </row>
    <row r="100" spans="1:13" ht="13">
      <c r="A100" s="774" t="s">
        <v>2125</v>
      </c>
      <c r="B100" s="1107" t="s">
        <v>2816</v>
      </c>
      <c r="C100" s="1108" t="s">
        <v>2830</v>
      </c>
      <c r="D100" s="1109"/>
      <c r="E100" s="1109"/>
      <c r="F100" s="1109"/>
      <c r="G100" s="1109"/>
      <c r="H100" s="1109"/>
      <c r="I100" s="1110"/>
      <c r="J100" s="1107"/>
      <c r="K100" s="828"/>
    </row>
    <row r="101" spans="1:13" ht="13">
      <c r="A101" s="774" t="s">
        <v>2126</v>
      </c>
      <c r="B101" s="1107" t="s">
        <v>2817</v>
      </c>
      <c r="C101" s="1108" t="s">
        <v>2831</v>
      </c>
      <c r="D101" s="1109"/>
      <c r="E101" s="1109"/>
      <c r="F101" s="1109"/>
      <c r="G101" s="1109"/>
      <c r="H101" s="1109"/>
      <c r="I101" s="1110"/>
      <c r="J101" s="1107"/>
      <c r="K101" s="828"/>
    </row>
    <row r="102" spans="1:13" ht="13">
      <c r="A102" s="774" t="s">
        <v>2127</v>
      </c>
      <c r="B102" s="1107" t="s">
        <v>2818</v>
      </c>
      <c r="C102" s="1108" t="s">
        <v>2831</v>
      </c>
      <c r="D102" s="1109"/>
      <c r="E102" s="1109"/>
      <c r="F102" s="1109"/>
      <c r="G102" s="1109"/>
      <c r="H102" s="1109"/>
      <c r="I102" s="1110"/>
      <c r="J102" s="1107"/>
      <c r="K102" s="828"/>
    </row>
    <row r="103" spans="1:13" ht="13">
      <c r="A103" s="774" t="s">
        <v>2128</v>
      </c>
      <c r="B103" s="825" t="s">
        <v>2819</v>
      </c>
      <c r="C103" s="826" t="s">
        <v>2832</v>
      </c>
      <c r="D103" s="827"/>
      <c r="E103" s="827"/>
      <c r="F103" s="827"/>
      <c r="G103" s="827"/>
      <c r="H103" s="827"/>
      <c r="I103" s="828"/>
      <c r="J103" s="825"/>
      <c r="K103" s="828"/>
    </row>
    <row r="104" spans="1:13" ht="13">
      <c r="A104" s="774" t="s">
        <v>2129</v>
      </c>
      <c r="B104" s="825" t="s">
        <v>2820</v>
      </c>
      <c r="C104" s="826" t="s">
        <v>2833</v>
      </c>
      <c r="D104" s="827"/>
      <c r="E104" s="827"/>
      <c r="F104" s="827"/>
      <c r="G104" s="827"/>
      <c r="H104" s="827"/>
      <c r="I104" s="828"/>
      <c r="J104" s="825"/>
      <c r="K104" s="828"/>
    </row>
    <row r="105" spans="1:13" ht="13">
      <c r="A105" s="774" t="s">
        <v>2130</v>
      </c>
      <c r="B105" s="825" t="s">
        <v>2821</v>
      </c>
      <c r="C105" s="826" t="s">
        <v>2834</v>
      </c>
      <c r="D105" s="827"/>
      <c r="E105" s="827"/>
      <c r="F105" s="827"/>
      <c r="G105" s="827"/>
      <c r="H105" s="827"/>
      <c r="I105" s="828"/>
      <c r="J105" s="825"/>
      <c r="K105" s="828"/>
    </row>
    <row r="106" spans="1:13" ht="13">
      <c r="A106" s="774" t="s">
        <v>2131</v>
      </c>
      <c r="B106" s="829" t="s">
        <v>76</v>
      </c>
      <c r="C106" s="826"/>
      <c r="D106" s="827"/>
      <c r="E106" s="827"/>
      <c r="F106" s="827"/>
      <c r="G106" s="827"/>
      <c r="H106" s="827"/>
      <c r="I106" s="828"/>
      <c r="J106" s="825"/>
      <c r="K106" s="828"/>
    </row>
    <row r="107" spans="1:13" ht="13">
      <c r="A107" s="774">
        <v>27</v>
      </c>
    </row>
    <row r="108" spans="1:13" ht="13">
      <c r="A108" s="774">
        <f t="shared" ref="A108:A114" si="8">A107+1</f>
        <v>28</v>
      </c>
    </row>
    <row r="109" spans="1:13" ht="15.5">
      <c r="A109" s="774">
        <f t="shared" si="8"/>
        <v>29</v>
      </c>
      <c r="B109" s="745" t="s">
        <v>1181</v>
      </c>
    </row>
    <row r="110" spans="1:13" ht="13">
      <c r="A110" s="774">
        <f t="shared" si="8"/>
        <v>30</v>
      </c>
      <c r="C110" s="758" t="s">
        <v>359</v>
      </c>
      <c r="D110" s="758" t="s">
        <v>343</v>
      </c>
      <c r="E110" s="758" t="s">
        <v>344</v>
      </c>
      <c r="F110" s="758" t="s">
        <v>345</v>
      </c>
      <c r="G110" s="830" t="s">
        <v>346</v>
      </c>
      <c r="H110" s="830" t="s">
        <v>347</v>
      </c>
      <c r="I110" s="830" t="s">
        <v>348</v>
      </c>
      <c r="J110" s="830" t="s">
        <v>537</v>
      </c>
      <c r="K110" s="830" t="s">
        <v>954</v>
      </c>
      <c r="L110" s="830" t="s">
        <v>967</v>
      </c>
      <c r="M110" s="830" t="s">
        <v>970</v>
      </c>
    </row>
    <row r="111" spans="1:13" s="763" customFormat="1" ht="37.5">
      <c r="A111" s="831">
        <f t="shared" si="8"/>
        <v>31</v>
      </c>
      <c r="C111" s="764"/>
      <c r="D111" s="764"/>
      <c r="E111" s="764"/>
      <c r="F111" s="795" t="s">
        <v>2132</v>
      </c>
      <c r="G111" s="832"/>
      <c r="H111" s="795"/>
      <c r="I111" s="1136" t="s">
        <v>2133</v>
      </c>
      <c r="J111" s="1136" t="s">
        <v>2243</v>
      </c>
      <c r="K111" s="1136" t="s">
        <v>2244</v>
      </c>
      <c r="L111" s="1136" t="s">
        <v>2245</v>
      </c>
      <c r="M111" s="1136" t="s">
        <v>2246</v>
      </c>
    </row>
    <row r="112" spans="1:13" s="833" customFormat="1" ht="13">
      <c r="A112" s="774">
        <f t="shared" si="8"/>
        <v>32</v>
      </c>
      <c r="C112" s="834"/>
      <c r="D112" s="834"/>
      <c r="E112" s="834"/>
      <c r="F112" s="835"/>
      <c r="G112" s="836"/>
      <c r="H112" s="835"/>
      <c r="I112" s="1120" t="s">
        <v>2506</v>
      </c>
      <c r="J112" s="1137"/>
      <c r="K112" s="835"/>
      <c r="L112" s="835"/>
      <c r="M112" s="835"/>
    </row>
    <row r="113" spans="1:13" ht="21.75" customHeight="1">
      <c r="A113" s="774">
        <f t="shared" si="8"/>
        <v>33</v>
      </c>
      <c r="B113" s="837"/>
      <c r="C113" s="1436" t="s">
        <v>1451</v>
      </c>
      <c r="D113" s="1437"/>
      <c r="E113" s="1437"/>
      <c r="F113" s="1440"/>
      <c r="G113" s="837"/>
      <c r="H113" s="838"/>
      <c r="I113" s="839"/>
      <c r="J113" s="839"/>
      <c r="K113" s="837"/>
      <c r="L113" s="1222" t="s">
        <v>148</v>
      </c>
      <c r="M113" s="840"/>
    </row>
    <row r="114" spans="1:13" s="791" customFormat="1" ht="51.75" customHeight="1">
      <c r="A114" s="774">
        <f t="shared" si="8"/>
        <v>34</v>
      </c>
      <c r="B114" s="841" t="str">
        <f>B11</f>
        <v>CPUC Rate Group</v>
      </c>
      <c r="C114" s="842">
        <v>2016</v>
      </c>
      <c r="D114" s="843">
        <v>2017</v>
      </c>
      <c r="E114" s="843">
        <v>2018</v>
      </c>
      <c r="F114" s="841" t="s">
        <v>2134</v>
      </c>
      <c r="G114" s="841" t="s">
        <v>1182</v>
      </c>
      <c r="H114" s="844" t="s">
        <v>2247</v>
      </c>
      <c r="I114" s="1138" t="s">
        <v>2248</v>
      </c>
      <c r="J114" s="841" t="s">
        <v>2206</v>
      </c>
      <c r="K114" s="841" t="s">
        <v>2249</v>
      </c>
      <c r="L114" s="841" t="s">
        <v>1452</v>
      </c>
      <c r="M114" s="841" t="s">
        <v>2135</v>
      </c>
    </row>
    <row r="115" spans="1:13" ht="13">
      <c r="A115" s="774" t="s">
        <v>2136</v>
      </c>
      <c r="B115" s="481" t="s">
        <v>2807</v>
      </c>
      <c r="C115" s="1139">
        <v>70601.36</v>
      </c>
      <c r="D115" s="1139">
        <v>78359.38</v>
      </c>
      <c r="E115" s="1139">
        <v>66767.509999999995</v>
      </c>
      <c r="F115" s="845">
        <f>(C115+D115+E115)/3</f>
        <v>71909.416666666672</v>
      </c>
      <c r="G115" s="846">
        <v>1.0905</v>
      </c>
      <c r="H115" s="1029">
        <v>29574.961746666668</v>
      </c>
      <c r="I115" s="1111">
        <f>E12</f>
        <v>28264.3853800875</v>
      </c>
      <c r="J115" s="1111">
        <f>F12</f>
        <v>0</v>
      </c>
      <c r="K115" s="792">
        <f>I115+J115</f>
        <v>28264.3853800875</v>
      </c>
      <c r="L115" s="845">
        <f>(F115*G115)*(K115/H115)</f>
        <v>74942.260744174229</v>
      </c>
      <c r="M115" s="1140">
        <f t="shared" ref="M115:M128" si="9">L115/$L$130</f>
        <v>0.43996175510061986</v>
      </c>
    </row>
    <row r="116" spans="1:13" ht="13">
      <c r="A116" s="774" t="s">
        <v>2137</v>
      </c>
      <c r="B116" s="481" t="s">
        <v>2808</v>
      </c>
      <c r="C116" s="1139">
        <v>12483.47</v>
      </c>
      <c r="D116" s="1139">
        <v>12202.27</v>
      </c>
      <c r="E116" s="1139">
        <v>11735.3</v>
      </c>
      <c r="F116" s="845">
        <f t="shared" ref="F116:F128" si="10">(C116+D116+E116)/3</f>
        <v>12140.346666666665</v>
      </c>
      <c r="G116" s="846">
        <v>1.0909</v>
      </c>
      <c r="H116" s="1029">
        <v>5939.1740866666669</v>
      </c>
      <c r="I116" s="1111">
        <f>E13</f>
        <v>5540.3616439985863</v>
      </c>
      <c r="J116" s="1111">
        <f>F13</f>
        <v>0</v>
      </c>
      <c r="K116" s="792">
        <f t="shared" ref="K116:K128" si="11">I116+J116</f>
        <v>5540.3616439985863</v>
      </c>
      <c r="L116" s="845">
        <f t="shared" ref="L116:L128" si="12">(F116*G116)*(K116/H116)</f>
        <v>12354.582919703456</v>
      </c>
      <c r="M116" s="1140">
        <f t="shared" si="9"/>
        <v>7.252975732135776E-2</v>
      </c>
    </row>
    <row r="117" spans="1:13" ht="13">
      <c r="A117" s="774" t="s">
        <v>2138</v>
      </c>
      <c r="B117" s="481" t="s">
        <v>2810</v>
      </c>
      <c r="C117" s="1139">
        <v>81.87</v>
      </c>
      <c r="D117" s="1139">
        <v>82.93</v>
      </c>
      <c r="E117" s="1139">
        <v>76.02</v>
      </c>
      <c r="F117" s="845">
        <f t="shared" si="10"/>
        <v>80.273333333333326</v>
      </c>
      <c r="G117" s="846">
        <v>1.0916999999999999</v>
      </c>
      <c r="H117" s="1029">
        <v>59.324099999999994</v>
      </c>
      <c r="I117" s="1111">
        <f t="shared" ref="I117:J119" si="13">E15</f>
        <v>56.223340480992299</v>
      </c>
      <c r="J117" s="1111">
        <f t="shared" si="13"/>
        <v>0</v>
      </c>
      <c r="K117" s="792">
        <f t="shared" si="11"/>
        <v>56.223340480992299</v>
      </c>
      <c r="L117" s="845">
        <f t="shared" si="12"/>
        <v>83.05391226501186</v>
      </c>
      <c r="M117" s="1140">
        <f t="shared" si="9"/>
        <v>4.8758263555490701E-4</v>
      </c>
    </row>
    <row r="118" spans="1:13" ht="13">
      <c r="A118" s="774" t="s">
        <v>2139</v>
      </c>
      <c r="B118" s="481" t="s">
        <v>2811</v>
      </c>
      <c r="C118" s="1139">
        <v>29451.81</v>
      </c>
      <c r="D118" s="1139">
        <v>28687.18</v>
      </c>
      <c r="E118" s="1139">
        <v>27970.65</v>
      </c>
      <c r="F118" s="845">
        <f t="shared" si="10"/>
        <v>28703.213333333337</v>
      </c>
      <c r="G118" s="846">
        <v>1.0905</v>
      </c>
      <c r="H118" s="1029">
        <v>14514.56371</v>
      </c>
      <c r="I118" s="1111">
        <f t="shared" si="13"/>
        <v>12514.674364582601</v>
      </c>
      <c r="J118" s="1111">
        <f t="shared" si="13"/>
        <v>0</v>
      </c>
      <c r="K118" s="792">
        <f t="shared" si="11"/>
        <v>12514.674364582601</v>
      </c>
      <c r="L118" s="845">
        <f t="shared" si="12"/>
        <v>26988.065554152105</v>
      </c>
      <c r="M118" s="1140">
        <f t="shared" si="9"/>
        <v>0.15843819722103017</v>
      </c>
    </row>
    <row r="119" spans="1:13" ht="13">
      <c r="A119" s="774" t="s">
        <v>2140</v>
      </c>
      <c r="B119" s="481" t="s">
        <v>2812</v>
      </c>
      <c r="C119" s="1139">
        <v>15946.69</v>
      </c>
      <c r="D119" s="1139">
        <v>15513.31</v>
      </c>
      <c r="E119" s="1139">
        <v>14472.22</v>
      </c>
      <c r="F119" s="845">
        <f t="shared" si="10"/>
        <v>15310.74</v>
      </c>
      <c r="G119" s="846">
        <v>1.0900000000000001</v>
      </c>
      <c r="H119" s="1029">
        <v>8379.8270033333338</v>
      </c>
      <c r="I119" s="1111">
        <f t="shared" si="13"/>
        <v>7043.3982366778009</v>
      </c>
      <c r="J119" s="1111">
        <f t="shared" si="13"/>
        <v>0</v>
      </c>
      <c r="K119" s="792">
        <f t="shared" si="11"/>
        <v>7043.3982366778009</v>
      </c>
      <c r="L119" s="845">
        <f t="shared" si="12"/>
        <v>14027.163877263332</v>
      </c>
      <c r="M119" s="1140">
        <f t="shared" si="9"/>
        <v>8.2348938732870261E-2</v>
      </c>
    </row>
    <row r="120" spans="1:13" ht="13">
      <c r="A120" s="774" t="s">
        <v>2141</v>
      </c>
      <c r="B120" s="481" t="s">
        <v>2813</v>
      </c>
      <c r="C120" s="1139">
        <v>14707.02</v>
      </c>
      <c r="D120" s="1139">
        <v>14237.300000000001</v>
      </c>
      <c r="E120" s="1139">
        <v>14200.609999999999</v>
      </c>
      <c r="F120" s="845">
        <f t="shared" si="10"/>
        <v>14381.643333333333</v>
      </c>
      <c r="G120" s="846">
        <v>1.0909</v>
      </c>
      <c r="H120" s="1030">
        <v>8416.3384166666674</v>
      </c>
      <c r="I120" s="1111">
        <f>E18+E21</f>
        <v>7747.4979165675832</v>
      </c>
      <c r="J120" s="1111">
        <f t="shared" ref="J120:J128" si="14">F18</f>
        <v>0</v>
      </c>
      <c r="K120" s="792">
        <f>I120+J120</f>
        <v>7747.4979165675832</v>
      </c>
      <c r="L120" s="845">
        <f t="shared" si="12"/>
        <v>14442.146094822529</v>
      </c>
      <c r="M120" s="1140">
        <f t="shared" si="9"/>
        <v>8.4785165008404439E-2</v>
      </c>
    </row>
    <row r="121" spans="1:13" ht="13">
      <c r="A121" s="774" t="s">
        <v>2142</v>
      </c>
      <c r="B121" s="481" t="s">
        <v>2814</v>
      </c>
      <c r="C121" s="1139">
        <v>9683.99</v>
      </c>
      <c r="D121" s="1139">
        <v>9644.42</v>
      </c>
      <c r="E121" s="1139">
        <v>9263.0499999999993</v>
      </c>
      <c r="F121" s="845">
        <f t="shared" si="10"/>
        <v>9530.4866666666658</v>
      </c>
      <c r="G121" s="846">
        <v>1.0644</v>
      </c>
      <c r="H121" s="1030">
        <v>6045.0277333333333</v>
      </c>
      <c r="I121" s="1111">
        <f>E19+E22</f>
        <v>5571.3077055799076</v>
      </c>
      <c r="J121" s="1111">
        <f t="shared" si="14"/>
        <v>0</v>
      </c>
      <c r="K121" s="792">
        <f t="shared" si="11"/>
        <v>5571.3077055799076</v>
      </c>
      <c r="L121" s="845">
        <f t="shared" si="12"/>
        <v>9349.2934573742841</v>
      </c>
      <c r="M121" s="1140">
        <f t="shared" si="9"/>
        <v>5.488667565685746E-2</v>
      </c>
    </row>
    <row r="122" spans="1:13" ht="13">
      <c r="A122" s="774" t="s">
        <v>2143</v>
      </c>
      <c r="B122" s="481" t="s">
        <v>2815</v>
      </c>
      <c r="C122" s="1139">
        <v>11021.36</v>
      </c>
      <c r="D122" s="1139">
        <v>11029.240000000002</v>
      </c>
      <c r="E122" s="1139">
        <v>11532.400000000001</v>
      </c>
      <c r="F122" s="845">
        <f t="shared" si="10"/>
        <v>11194.333333333334</v>
      </c>
      <c r="G122" s="846">
        <v>1.0315000000000001</v>
      </c>
      <c r="H122" s="1030">
        <v>7992.9431833333338</v>
      </c>
      <c r="I122" s="1111">
        <f>E20+E23</f>
        <v>7849.3296721925308</v>
      </c>
      <c r="J122" s="1111">
        <f t="shared" si="14"/>
        <v>0</v>
      </c>
      <c r="K122" s="792">
        <f t="shared" si="11"/>
        <v>7849.3296721925308</v>
      </c>
      <c r="L122" s="845">
        <f t="shared" si="12"/>
        <v>11339.484482479709</v>
      </c>
      <c r="M122" s="1140">
        <f t="shared" si="9"/>
        <v>6.6570442969133961E-2</v>
      </c>
    </row>
    <row r="123" spans="1:13" ht="13">
      <c r="A123" s="774" t="s">
        <v>2144</v>
      </c>
      <c r="B123" s="481" t="s">
        <v>2816</v>
      </c>
      <c r="C123" s="1139">
        <v>155.46</v>
      </c>
      <c r="D123" s="1139">
        <v>142.24</v>
      </c>
      <c r="E123" s="1139">
        <v>137.02000000000001</v>
      </c>
      <c r="F123" s="845">
        <f t="shared" si="10"/>
        <v>144.90666666666667</v>
      </c>
      <c r="G123" s="846">
        <v>1.0911</v>
      </c>
      <c r="H123" s="1030">
        <v>89.759716666666677</v>
      </c>
      <c r="I123" s="1141">
        <f>E21*0</f>
        <v>0</v>
      </c>
      <c r="J123" s="1111">
        <f t="shared" si="14"/>
        <v>87.389652595392604</v>
      </c>
      <c r="K123" s="792">
        <f t="shared" si="11"/>
        <v>87.389652595392604</v>
      </c>
      <c r="L123" s="845">
        <f t="shared" si="12"/>
        <v>153.93290378734179</v>
      </c>
      <c r="M123" s="1140">
        <f t="shared" si="9"/>
        <v>9.036902522756953E-4</v>
      </c>
    </row>
    <row r="124" spans="1:13" ht="13">
      <c r="A124" s="774" t="s">
        <v>2145</v>
      </c>
      <c r="B124" s="481" t="s">
        <v>2817</v>
      </c>
      <c r="C124" s="1139">
        <v>372.99</v>
      </c>
      <c r="D124" s="1139">
        <v>301.33999999999997</v>
      </c>
      <c r="E124" s="1139">
        <v>296.75</v>
      </c>
      <c r="F124" s="845">
        <f t="shared" si="10"/>
        <v>323.69333333333333</v>
      </c>
      <c r="G124" s="846">
        <v>1.0645</v>
      </c>
      <c r="H124" s="1030">
        <v>225.89581333333334</v>
      </c>
      <c r="I124" s="1141">
        <f>E22*0</f>
        <v>0</v>
      </c>
      <c r="J124" s="1111">
        <f t="shared" si="14"/>
        <v>209.95141272049975</v>
      </c>
      <c r="K124" s="792">
        <f t="shared" si="11"/>
        <v>209.95141272049975</v>
      </c>
      <c r="L124" s="845">
        <f t="shared" si="12"/>
        <v>320.25066484468277</v>
      </c>
      <c r="M124" s="1140">
        <f t="shared" si="9"/>
        <v>1.8800879927839643E-3</v>
      </c>
    </row>
    <row r="125" spans="1:13" ht="13">
      <c r="A125" s="774" t="s">
        <v>2146</v>
      </c>
      <c r="B125" s="481" t="s">
        <v>2818</v>
      </c>
      <c r="C125" s="1036">
        <v>713.8</v>
      </c>
      <c r="D125" s="1036">
        <v>601.61</v>
      </c>
      <c r="E125" s="1036">
        <v>789.23</v>
      </c>
      <c r="F125" s="845">
        <f t="shared" si="10"/>
        <v>701.54666666666662</v>
      </c>
      <c r="G125" s="846">
        <v>1.0316000000000001</v>
      </c>
      <c r="H125" s="1030">
        <v>528.15213333333338</v>
      </c>
      <c r="I125" s="1141">
        <f>E23*0</f>
        <v>0</v>
      </c>
      <c r="J125" s="1111">
        <f t="shared" si="14"/>
        <v>535.92002153881651</v>
      </c>
      <c r="K125" s="792">
        <f t="shared" si="11"/>
        <v>535.92002153881651</v>
      </c>
      <c r="L125" s="845">
        <f t="shared" si="12"/>
        <v>734.35971194790136</v>
      </c>
      <c r="M125" s="1140">
        <f t="shared" si="9"/>
        <v>4.3111881672037809E-3</v>
      </c>
    </row>
    <row r="126" spans="1:13" ht="13">
      <c r="A126" s="774" t="s">
        <v>2147</v>
      </c>
      <c r="B126" s="481" t="s">
        <v>2819</v>
      </c>
      <c r="C126" s="1139">
        <v>2748.37</v>
      </c>
      <c r="D126" s="1139">
        <v>2325.3000000000002</v>
      </c>
      <c r="E126" s="1139">
        <v>2677.66</v>
      </c>
      <c r="F126" s="845">
        <f t="shared" si="10"/>
        <v>2583.7766666666666</v>
      </c>
      <c r="G126" s="846">
        <v>1.091</v>
      </c>
      <c r="H126" s="1029">
        <v>1851.17633</v>
      </c>
      <c r="I126" s="1111">
        <f>E24</f>
        <v>1803.6217157521851</v>
      </c>
      <c r="J126" s="1111">
        <f t="shared" si="14"/>
        <v>0</v>
      </c>
      <c r="K126" s="792">
        <f t="shared" si="11"/>
        <v>1803.6217157521851</v>
      </c>
      <c r="L126" s="845">
        <f t="shared" si="12"/>
        <v>2746.485999946472</v>
      </c>
      <c r="M126" s="1140">
        <f t="shared" si="9"/>
        <v>1.6123730307797846E-2</v>
      </c>
    </row>
    <row r="127" spans="1:13" ht="13">
      <c r="A127" s="774" t="s">
        <v>2148</v>
      </c>
      <c r="B127" s="481" t="s">
        <v>2820</v>
      </c>
      <c r="C127" s="1139">
        <v>1891.42</v>
      </c>
      <c r="D127" s="1139">
        <v>1857.81</v>
      </c>
      <c r="E127" s="1139">
        <v>1924.38</v>
      </c>
      <c r="F127" s="845">
        <f t="shared" si="10"/>
        <v>1891.2033333333336</v>
      </c>
      <c r="G127" s="846">
        <v>1.0895999999999999</v>
      </c>
      <c r="H127" s="1029">
        <v>1416.4635433333333</v>
      </c>
      <c r="I127" s="1111">
        <f>E25</f>
        <v>1493.2413571287309</v>
      </c>
      <c r="J127" s="1111">
        <f t="shared" si="14"/>
        <v>0</v>
      </c>
      <c r="K127" s="792">
        <f t="shared" si="11"/>
        <v>1493.2413571287309</v>
      </c>
      <c r="L127" s="845">
        <f t="shared" si="12"/>
        <v>2172.3506476598914</v>
      </c>
      <c r="M127" s="1140">
        <f t="shared" si="9"/>
        <v>1.2753167493852406E-2</v>
      </c>
    </row>
    <row r="128" spans="1:13" ht="13">
      <c r="A128" s="774" t="s">
        <v>2149</v>
      </c>
      <c r="B128" s="481" t="s">
        <v>2821</v>
      </c>
      <c r="C128" s="1139">
        <v>684.89</v>
      </c>
      <c r="D128" s="1139">
        <v>959.84</v>
      </c>
      <c r="E128" s="1139">
        <v>708.84</v>
      </c>
      <c r="F128" s="845">
        <f t="shared" si="10"/>
        <v>784.52333333333343</v>
      </c>
      <c r="G128" s="846">
        <v>1.0938000000000001</v>
      </c>
      <c r="H128" s="1029">
        <v>692.68217666666669</v>
      </c>
      <c r="I128" s="1111">
        <f>E26</f>
        <v>552.69713695108601</v>
      </c>
      <c r="J128" s="1111">
        <f t="shared" si="14"/>
        <v>0</v>
      </c>
      <c r="K128" s="792">
        <f t="shared" si="11"/>
        <v>552.69713695108601</v>
      </c>
      <c r="L128" s="845">
        <f t="shared" si="12"/>
        <v>684.69473106146381</v>
      </c>
      <c r="M128" s="1140">
        <f t="shared" si="9"/>
        <v>4.0196211402571801E-3</v>
      </c>
    </row>
    <row r="129" spans="1:13" ht="13">
      <c r="A129" s="774" t="s">
        <v>2150</v>
      </c>
      <c r="B129" s="787" t="s">
        <v>76</v>
      </c>
      <c r="C129" s="1031"/>
      <c r="D129" s="1031"/>
      <c r="E129" s="1031"/>
      <c r="F129" s="845"/>
      <c r="G129" s="846"/>
      <c r="H129" s="1029"/>
      <c r="I129" s="746"/>
      <c r="J129" s="746"/>
      <c r="K129" s="792"/>
      <c r="L129" s="845"/>
      <c r="M129" s="1140"/>
    </row>
    <row r="130" spans="1:13" ht="13">
      <c r="A130" s="774">
        <v>36</v>
      </c>
      <c r="B130" s="484" t="s">
        <v>197</v>
      </c>
      <c r="C130" s="790">
        <f>SUM(C115:C129)</f>
        <v>170544.5</v>
      </c>
      <c r="D130" s="790">
        <f>SUM(D115:D129)</f>
        <v>175944.16999999995</v>
      </c>
      <c r="E130" s="790">
        <f>SUM(E115:E129)</f>
        <v>162551.63999999998</v>
      </c>
      <c r="F130" s="790">
        <f>SUM(F115:F129)</f>
        <v>169680.10333333336</v>
      </c>
      <c r="G130" s="789"/>
      <c r="H130" s="790">
        <f t="shared" ref="H130:M130" si="15">SUM(H115:H129)</f>
        <v>85726.289693333354</v>
      </c>
      <c r="I130" s="1142">
        <f t="shared" si="15"/>
        <v>78436.738469999502</v>
      </c>
      <c r="J130" s="1142">
        <f t="shared" si="15"/>
        <v>833.26108685470888</v>
      </c>
      <c r="K130" s="790">
        <f t="shared" si="15"/>
        <v>79269.999556854207</v>
      </c>
      <c r="L130" s="790">
        <f t="shared" si="15"/>
        <v>170338.12570148247</v>
      </c>
      <c r="M130" s="1143">
        <f t="shared" si="15"/>
        <v>0.99999999999999956</v>
      </c>
    </row>
    <row r="131" spans="1:13">
      <c r="J131" s="847"/>
      <c r="L131" s="803"/>
      <c r="M131" s="804"/>
    </row>
    <row r="132" spans="1:13">
      <c r="J132" s="847"/>
      <c r="L132" s="803"/>
      <c r="M132" s="804"/>
    </row>
    <row r="133" spans="1:13">
      <c r="J133" s="847"/>
      <c r="L133" s="803"/>
      <c r="M133" s="804"/>
    </row>
    <row r="134" spans="1:13">
      <c r="J134" s="847"/>
      <c r="L134" s="803"/>
      <c r="M134" s="804"/>
    </row>
    <row r="135" spans="1:13">
      <c r="J135" s="847"/>
      <c r="L135" s="803"/>
      <c r="M135" s="804"/>
    </row>
    <row r="136" spans="1:13">
      <c r="J136" s="847"/>
      <c r="L136" s="803"/>
      <c r="M136" s="804"/>
    </row>
    <row r="137" spans="1:13">
      <c r="J137" s="847"/>
      <c r="L137" s="803"/>
      <c r="M137" s="804"/>
    </row>
    <row r="138" spans="1:13">
      <c r="J138" s="847"/>
      <c r="L138" s="803"/>
      <c r="M138" s="804"/>
    </row>
    <row r="139" spans="1:13">
      <c r="J139" s="847"/>
      <c r="L139" s="803"/>
      <c r="M139" s="804"/>
    </row>
    <row r="140" spans="1:13">
      <c r="L140" s="803"/>
    </row>
    <row r="144" spans="1:13">
      <c r="M144" s="749"/>
    </row>
    <row r="145" spans="13:13">
      <c r="M145" s="749"/>
    </row>
    <row r="146" spans="13:13">
      <c r="M146" s="749"/>
    </row>
    <row r="147" spans="13:13">
      <c r="M147" s="749"/>
    </row>
    <row r="148" spans="13:13">
      <c r="M148" s="749"/>
    </row>
    <row r="149" spans="13:13">
      <c r="M149" s="749"/>
    </row>
    <row r="150" spans="13:13">
      <c r="M150" s="749"/>
    </row>
    <row r="151" spans="13:13">
      <c r="M151" s="749"/>
    </row>
    <row r="152" spans="13:13">
      <c r="M152" s="749"/>
    </row>
    <row r="153" spans="13:13">
      <c r="M153" s="749"/>
    </row>
    <row r="154" spans="13:13">
      <c r="M154" s="749"/>
    </row>
    <row r="155" spans="13:13">
      <c r="M155" s="749"/>
    </row>
    <row r="156" spans="13:13">
      <c r="M156" s="749"/>
    </row>
    <row r="157" spans="13:13">
      <c r="M157" s="749"/>
    </row>
    <row r="158" spans="13:13">
      <c r="M158" s="749"/>
    </row>
    <row r="159" spans="13:13">
      <c r="M159" s="749"/>
    </row>
    <row r="160" spans="13:13">
      <c r="M160" s="749"/>
    </row>
    <row r="161" spans="13:13">
      <c r="M161" s="749"/>
    </row>
    <row r="162" spans="13:13">
      <c r="M162" s="749"/>
    </row>
    <row r="163" spans="13:13">
      <c r="M163" s="749"/>
    </row>
    <row r="164" spans="13:13">
      <c r="M164" s="749"/>
    </row>
    <row r="165" spans="13:13">
      <c r="M165" s="749"/>
    </row>
    <row r="166" spans="13:13">
      <c r="M166" s="749"/>
    </row>
    <row r="167" spans="13:13">
      <c r="M167" s="749"/>
    </row>
    <row r="168" spans="13:13">
      <c r="M168" s="749"/>
    </row>
    <row r="169" spans="13:13">
      <c r="M169" s="749"/>
    </row>
    <row r="170" spans="13:13">
      <c r="M170" s="749"/>
    </row>
    <row r="171" spans="13:13">
      <c r="M171" s="749"/>
    </row>
    <row r="172" spans="13:13">
      <c r="M172" s="749"/>
    </row>
    <row r="173" spans="13:13">
      <c r="M173" s="749"/>
    </row>
    <row r="174" spans="13:13">
      <c r="M174" s="749"/>
    </row>
    <row r="175" spans="13:13">
      <c r="M175" s="749"/>
    </row>
    <row r="176" spans="13:13">
      <c r="M176" s="749"/>
    </row>
    <row r="177" spans="13:13">
      <c r="M177" s="749"/>
    </row>
    <row r="178" spans="13:13">
      <c r="M178" s="749"/>
    </row>
    <row r="179" spans="13:13">
      <c r="M179" s="749"/>
    </row>
    <row r="180" spans="13:13">
      <c r="M180" s="749"/>
    </row>
    <row r="181" spans="13:13">
      <c r="M181" s="749"/>
    </row>
    <row r="182" spans="13:13">
      <c r="M182" s="749"/>
    </row>
    <row r="183" spans="13:13">
      <c r="M183" s="749"/>
    </row>
    <row r="184" spans="13:13">
      <c r="M184" s="749"/>
    </row>
    <row r="185" spans="13:13">
      <c r="M185" s="749"/>
    </row>
    <row r="186" spans="13:13">
      <c r="M186" s="749"/>
    </row>
    <row r="187" spans="13:13">
      <c r="M187" s="749"/>
    </row>
    <row r="188" spans="13:13">
      <c r="M188" s="749"/>
    </row>
    <row r="189" spans="13:13">
      <c r="M189" s="749"/>
    </row>
    <row r="190" spans="13:13">
      <c r="M190" s="749"/>
    </row>
    <row r="191" spans="13:13">
      <c r="M191" s="749"/>
    </row>
    <row r="192" spans="13:13">
      <c r="M192" s="749"/>
    </row>
    <row r="193" spans="13:13">
      <c r="M193" s="749"/>
    </row>
    <row r="194" spans="13:13">
      <c r="M194" s="749"/>
    </row>
    <row r="195" spans="13:13">
      <c r="M195" s="749"/>
    </row>
    <row r="196" spans="13:13">
      <c r="M196" s="749"/>
    </row>
    <row r="197" spans="13:13">
      <c r="M197" s="749"/>
    </row>
    <row r="198" spans="13:13">
      <c r="M198" s="749"/>
    </row>
    <row r="199" spans="13:13">
      <c r="M199" s="749"/>
    </row>
    <row r="200" spans="13:13">
      <c r="M200" s="749"/>
    </row>
    <row r="201" spans="13:13">
      <c r="M201" s="749"/>
    </row>
    <row r="202" spans="13:13">
      <c r="M202" s="749"/>
    </row>
    <row r="203" spans="13:13">
      <c r="M203" s="749"/>
    </row>
    <row r="204" spans="13:13">
      <c r="M204" s="749"/>
    </row>
    <row r="205" spans="13:13">
      <c r="M205" s="749"/>
    </row>
    <row r="206" spans="13:13">
      <c r="M206" s="749"/>
    </row>
    <row r="207" spans="13:13">
      <c r="M207" s="749"/>
    </row>
    <row r="208" spans="13:13">
      <c r="M208" s="749"/>
    </row>
    <row r="209" spans="13:13">
      <c r="M209" s="749"/>
    </row>
    <row r="210" spans="13:13">
      <c r="M210" s="749"/>
    </row>
    <row r="211" spans="13:13">
      <c r="M211" s="749"/>
    </row>
    <row r="212" spans="13:13">
      <c r="M212" s="749"/>
    </row>
    <row r="213" spans="13:13">
      <c r="M213" s="749"/>
    </row>
    <row r="214" spans="13:13">
      <c r="M214" s="749"/>
    </row>
    <row r="215" spans="13:13">
      <c r="M215" s="749"/>
    </row>
    <row r="216" spans="13:13">
      <c r="M216" s="749"/>
    </row>
    <row r="217" spans="13:13">
      <c r="M217" s="749"/>
    </row>
    <row r="218" spans="13:13">
      <c r="M218" s="749"/>
    </row>
    <row r="219" spans="13:13">
      <c r="M219" s="749"/>
    </row>
    <row r="220" spans="13:13">
      <c r="M220" s="749"/>
    </row>
    <row r="221" spans="13:13">
      <c r="M221" s="749"/>
    </row>
    <row r="222" spans="13:13">
      <c r="M222" s="749"/>
    </row>
    <row r="223" spans="13:13">
      <c r="M223" s="749"/>
    </row>
    <row r="224" spans="13:13">
      <c r="M224" s="749"/>
    </row>
    <row r="225" spans="13:13">
      <c r="M225" s="749"/>
    </row>
    <row r="226" spans="13:13">
      <c r="M226" s="749"/>
    </row>
    <row r="227" spans="13:13">
      <c r="M227" s="749"/>
    </row>
    <row r="228" spans="13:13">
      <c r="M228" s="749"/>
    </row>
    <row r="229" spans="13:13">
      <c r="M229" s="749"/>
    </row>
    <row r="230" spans="13:13">
      <c r="M230" s="749"/>
    </row>
    <row r="231" spans="13:13">
      <c r="M231" s="749"/>
    </row>
    <row r="232" spans="13:13">
      <c r="M232" s="749"/>
    </row>
    <row r="233" spans="13:13">
      <c r="M233" s="749"/>
    </row>
    <row r="234" spans="13:13">
      <c r="M234" s="749"/>
    </row>
    <row r="235" spans="13:13">
      <c r="M235" s="749"/>
    </row>
    <row r="236" spans="13:13">
      <c r="M236" s="749"/>
    </row>
    <row r="237" spans="13:13">
      <c r="M237" s="749"/>
    </row>
    <row r="238" spans="13:13">
      <c r="M238" s="749"/>
    </row>
    <row r="239" spans="13:13">
      <c r="M239" s="749"/>
    </row>
    <row r="240" spans="13:13">
      <c r="M240" s="749"/>
    </row>
    <row r="241" spans="13:13">
      <c r="M241" s="749"/>
    </row>
    <row r="242" spans="13:13">
      <c r="M242" s="749"/>
    </row>
    <row r="243" spans="13:13">
      <c r="M243" s="749"/>
    </row>
    <row r="244" spans="13:13">
      <c r="M244" s="749"/>
    </row>
    <row r="245" spans="13:13">
      <c r="M245" s="749"/>
    </row>
    <row r="246" spans="13:13">
      <c r="M246" s="749"/>
    </row>
    <row r="247" spans="13:13">
      <c r="M247" s="749"/>
    </row>
    <row r="248" spans="13:13">
      <c r="M248" s="749"/>
    </row>
    <row r="249" spans="13:13">
      <c r="M249" s="749"/>
    </row>
    <row r="250" spans="13:13">
      <c r="M250" s="749"/>
    </row>
    <row r="251" spans="13:13">
      <c r="M251" s="749"/>
    </row>
    <row r="252" spans="13:13">
      <c r="M252" s="749"/>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&amp;RTO2021 Annual Update
Attachment 5
TO2018 True Up TRR</oddHeader>
    <oddFooter>&amp;R33-RetailRates</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75"/>
  <sheetViews>
    <sheetView tabSelected="1" zoomScaleNormal="100" zoomScalePageLayoutView="85" workbookViewId="0"/>
  </sheetViews>
  <sheetFormatPr defaultRowHeight="12.5"/>
  <cols>
    <col min="1" max="1" width="4.54296875" customWidth="1"/>
    <col min="7" max="7" width="6.54296875" customWidth="1"/>
    <col min="8" max="8" width="25.54296875" bestFit="1" customWidth="1"/>
    <col min="9" max="9" width="29.453125" customWidth="1"/>
    <col min="10" max="10" width="2.54296875" customWidth="1"/>
    <col min="11" max="11" width="17.54296875" customWidth="1"/>
  </cols>
  <sheetData>
    <row r="1" spans="1:11" ht="13">
      <c r="A1" s="1" t="s">
        <v>166</v>
      </c>
    </row>
    <row r="2" spans="1:11">
      <c r="I2" s="95" t="s">
        <v>302</v>
      </c>
      <c r="J2" s="95"/>
      <c r="K2" s="14"/>
    </row>
    <row r="3" spans="1:11" ht="13">
      <c r="A3" s="1" t="s">
        <v>167</v>
      </c>
    </row>
    <row r="4" spans="1:11" ht="13">
      <c r="H4" s="2"/>
      <c r="I4" s="2" t="s">
        <v>169</v>
      </c>
      <c r="K4" s="248">
        <v>2019</v>
      </c>
    </row>
    <row r="5" spans="1:11" ht="13">
      <c r="A5" s="53" t="s">
        <v>320</v>
      </c>
      <c r="H5" s="3" t="s">
        <v>168</v>
      </c>
      <c r="I5" s="3" t="s">
        <v>170</v>
      </c>
      <c r="K5" s="3" t="s">
        <v>171</v>
      </c>
    </row>
    <row r="7" spans="1:11" ht="13">
      <c r="A7" s="10" t="s">
        <v>176</v>
      </c>
      <c r="B7" s="11"/>
      <c r="C7" s="11"/>
      <c r="D7" s="11"/>
      <c r="E7" s="11"/>
      <c r="F7" s="11"/>
      <c r="G7" s="11"/>
      <c r="H7" s="9"/>
      <c r="I7" s="9"/>
      <c r="J7" s="9"/>
      <c r="K7" s="9"/>
    </row>
    <row r="9" spans="1:11" ht="13">
      <c r="A9" s="2">
        <v>1</v>
      </c>
      <c r="B9" s="50" t="s">
        <v>1049</v>
      </c>
      <c r="I9" s="15" t="str">
        <f>"6-PlantInService, Line "&amp;'6-PlantInService'!A43&amp;""</f>
        <v>6-PlantInService, Line 19</v>
      </c>
      <c r="K9" s="7">
        <f>'6-PlantInService'!D43</f>
        <v>9285531120.7645969</v>
      </c>
    </row>
    <row r="10" spans="1:11" ht="13">
      <c r="A10" s="2">
        <f>A9+1</f>
        <v>2</v>
      </c>
      <c r="B10" s="50" t="s">
        <v>318</v>
      </c>
      <c r="I10" s="15" t="str">
        <f>"6-PlantInService, Line "&amp;'6-PlantInService'!A63&amp;""</f>
        <v>6-PlantInService, Line 27</v>
      </c>
      <c r="K10" s="7">
        <f>'6-PlantInService'!F63</f>
        <v>295141395.33780432</v>
      </c>
    </row>
    <row r="11" spans="1:11" ht="13">
      <c r="A11" s="2">
        <f>A10+1</f>
        <v>3</v>
      </c>
      <c r="B11" s="50" t="s">
        <v>157</v>
      </c>
      <c r="I11" s="15" t="str">
        <f>"11-PHFU, Line "&amp;'11-PHFU'!A38&amp;""</f>
        <v>11-PHFU, Line 8</v>
      </c>
      <c r="K11" s="7">
        <f>'11-PHFU'!E38</f>
        <v>9942155</v>
      </c>
    </row>
    <row r="12" spans="1:11" ht="13">
      <c r="A12" s="2">
        <f>A11+1</f>
        <v>4</v>
      </c>
      <c r="B12" s="108" t="s">
        <v>313</v>
      </c>
      <c r="C12" s="14"/>
      <c r="D12" s="14"/>
      <c r="E12" s="14"/>
      <c r="F12" s="14"/>
      <c r="G12" s="14"/>
      <c r="H12" s="14"/>
      <c r="I12" s="15" t="str">
        <f>"12-AbandonedPlant, Line "&amp;'12-AbandonedPlant'!A20&amp;""</f>
        <v>12-AbandonedPlant, Line 3</v>
      </c>
      <c r="K12" s="7">
        <f>'12-AbandonedPlant'!G20</f>
        <v>0</v>
      </c>
    </row>
    <row r="13" spans="1:11" ht="13">
      <c r="A13" s="2"/>
      <c r="B13" s="108"/>
      <c r="C13" s="14"/>
      <c r="D13" s="14"/>
      <c r="E13" s="14"/>
      <c r="F13" s="14"/>
      <c r="G13" s="14"/>
      <c r="H13" s="14"/>
      <c r="I13" s="14"/>
      <c r="K13" s="7"/>
    </row>
    <row r="14" spans="1:11" ht="13">
      <c r="A14" s="2"/>
      <c r="B14" s="45" t="s">
        <v>243</v>
      </c>
      <c r="C14" s="14"/>
      <c r="D14" s="14"/>
      <c r="E14" s="14"/>
      <c r="F14" s="14"/>
      <c r="G14" s="14"/>
      <c r="H14" s="14"/>
      <c r="I14" s="14"/>
      <c r="K14" s="7"/>
    </row>
    <row r="15" spans="1:11" ht="13">
      <c r="A15" s="2">
        <f>A12+1</f>
        <v>5</v>
      </c>
      <c r="B15" s="13" t="s">
        <v>91</v>
      </c>
      <c r="I15" s="15" t="str">
        <f>"13-WorkCap, Line "&amp;'13-WorkCap'!A26&amp;""</f>
        <v>13-WorkCap, Line 16</v>
      </c>
      <c r="K15" s="7">
        <f>'13-WorkCap'!F26</f>
        <v>23772508.986329257</v>
      </c>
    </row>
    <row r="16" spans="1:11" ht="13">
      <c r="A16" s="2">
        <f>A15+1</f>
        <v>6</v>
      </c>
      <c r="B16" s="16" t="s">
        <v>92</v>
      </c>
      <c r="I16" s="15" t="str">
        <f>"13-WorkCap, Line "&amp;'13-WorkCap'!A55&amp;""</f>
        <v>13-WorkCap, Line 36</v>
      </c>
      <c r="K16" s="7">
        <f>'13-WorkCap'!F55</f>
        <v>14005541.534857571</v>
      </c>
    </row>
    <row r="17" spans="1:11" ht="13">
      <c r="A17" s="2">
        <f>A16+1</f>
        <v>7</v>
      </c>
      <c r="B17" s="13" t="s">
        <v>172</v>
      </c>
      <c r="I17" s="15" t="str">
        <f>"(Line "&amp;A124&amp;" + Line "&amp;A125&amp;") / 8"</f>
        <v>(Line 66 + Line 67) / 8</v>
      </c>
      <c r="K17" s="100">
        <f>(K124+K125)/8</f>
        <v>24479385.852552179</v>
      </c>
    </row>
    <row r="18" spans="1:11" ht="13">
      <c r="A18" s="2">
        <f>A17+1</f>
        <v>8</v>
      </c>
      <c r="B18" s="13" t="s">
        <v>90</v>
      </c>
      <c r="I18" s="15" t="str">
        <f>"Line "&amp;A15&amp;" + Line "&amp;A16&amp;" + Line "&amp;A17&amp;""</f>
        <v>Line 5 + Line 6 + Line 7</v>
      </c>
      <c r="K18" s="63">
        <f>SUM(K15:K17)</f>
        <v>62257436.373739004</v>
      </c>
    </row>
    <row r="19" spans="1:11" ht="13">
      <c r="A19" s="2"/>
      <c r="B19" s="13"/>
      <c r="I19" s="14"/>
      <c r="K19" s="63"/>
    </row>
    <row r="20" spans="1:11" ht="13">
      <c r="A20" s="2"/>
      <c r="B20" s="76" t="s">
        <v>165</v>
      </c>
      <c r="I20" s="14"/>
      <c r="K20" s="63"/>
    </row>
    <row r="21" spans="1:11" ht="13">
      <c r="A21" s="2">
        <f>A18+1</f>
        <v>9</v>
      </c>
      <c r="B21" s="13" t="s">
        <v>1052</v>
      </c>
      <c r="H21" t="s">
        <v>151</v>
      </c>
      <c r="I21" s="15" t="str">
        <f>"8-AccDep, Line "&amp;'8-AccDep'!A24&amp;", Col. 12"</f>
        <v>8-AccDep, Line 13, Col. 12</v>
      </c>
      <c r="K21" s="63">
        <f>-'8-AccDep'!N24</f>
        <v>-1910452318.1000457</v>
      </c>
    </row>
    <row r="22" spans="1:11" ht="13">
      <c r="A22" s="2">
        <f>A21+1</f>
        <v>10</v>
      </c>
      <c r="B22" s="13" t="s">
        <v>1053</v>
      </c>
      <c r="H22" t="s">
        <v>151</v>
      </c>
      <c r="I22" s="15" t="str">
        <f>"8-AccDep, Line "&amp;'8-AccDep'!A34&amp;", Col. 5"</f>
        <v>8-AccDep, Line 16, Col. 5</v>
      </c>
      <c r="K22" s="63">
        <f>-'8-AccDep'!G34</f>
        <v>0</v>
      </c>
    </row>
    <row r="23" spans="1:11" ht="13">
      <c r="A23" s="2">
        <f>A22+1</f>
        <v>11</v>
      </c>
      <c r="B23" s="13" t="s">
        <v>309</v>
      </c>
      <c r="C23" s="22"/>
      <c r="H23" t="s">
        <v>151</v>
      </c>
      <c r="I23" s="15" t="str">
        <f>"8-AccDep, Line "&amp;'8-AccDep'!A60&amp;""</f>
        <v>8-AccDep, Line 26</v>
      </c>
      <c r="K23" s="100">
        <f>-'8-AccDep'!F60</f>
        <v>-105759955.80085519</v>
      </c>
    </row>
    <row r="24" spans="1:11" ht="13">
      <c r="A24" s="2">
        <f>A23+1</f>
        <v>12</v>
      </c>
      <c r="B24" s="77" t="s">
        <v>163</v>
      </c>
      <c r="C24" s="22"/>
      <c r="I24" s="15" t="str">
        <f>"Line "&amp;A21&amp;" + Line "&amp;A22&amp;" + Line "&amp;A23&amp;""</f>
        <v>Line 9 + Line 10 + Line 11</v>
      </c>
      <c r="K24" s="63">
        <f>SUM(K21:K23)</f>
        <v>-2016212273.9009008</v>
      </c>
    </row>
    <row r="25" spans="1:11">
      <c r="B25" s="12"/>
      <c r="I25" s="14"/>
      <c r="K25" s="63"/>
    </row>
    <row r="26" spans="1:11" ht="13">
      <c r="A26" s="2">
        <f>A24+1</f>
        <v>13</v>
      </c>
      <c r="B26" s="65" t="s">
        <v>164</v>
      </c>
      <c r="H26" t="s">
        <v>151</v>
      </c>
      <c r="I26" s="15" t="str">
        <f>"9-ADIT, Line "&amp;'9-ADIT'!A14&amp;", Col. 2"</f>
        <v>9-ADIT, Line 5, Col. 2</v>
      </c>
      <c r="K26" s="63">
        <f>'9-ADIT'!D14</f>
        <v>-1621045536.4425032</v>
      </c>
    </row>
    <row r="27" spans="1:11" ht="13">
      <c r="A27" s="2"/>
      <c r="B27" s="65"/>
      <c r="I27" s="14"/>
      <c r="K27" s="14"/>
    </row>
    <row r="28" spans="1:11" ht="13">
      <c r="A28" s="2">
        <f>A26+1</f>
        <v>14</v>
      </c>
      <c r="B28" s="50" t="s">
        <v>240</v>
      </c>
      <c r="I28" s="15" t="str">
        <f>"14-IncentivePlant, L "&amp;'14-IncentivePlant'!A37&amp;", Col 1"</f>
        <v>14-IncentivePlant, L 12, Col 1</v>
      </c>
      <c r="K28" s="63">
        <f>'14-IncentivePlant'!E37</f>
        <v>647763205.16651607</v>
      </c>
    </row>
    <row r="29" spans="1:11" ht="13">
      <c r="A29" s="2"/>
      <c r="B29" s="50"/>
      <c r="I29" s="14"/>
      <c r="K29" s="63"/>
    </row>
    <row r="30" spans="1:11" ht="13">
      <c r="A30" s="2">
        <f>A28+1</f>
        <v>15</v>
      </c>
      <c r="B30" s="50" t="s">
        <v>363</v>
      </c>
      <c r="I30" s="15" t="str">
        <f>"23-RegAssets, Line "&amp;'23-RegAssets'!A17&amp;""</f>
        <v>23-RegAssets, Line 14</v>
      </c>
      <c r="K30" s="63">
        <f>'23-RegAssets'!E17</f>
        <v>0</v>
      </c>
    </row>
    <row r="31" spans="1:11" ht="13">
      <c r="A31" s="572">
        <f>A30+1</f>
        <v>16</v>
      </c>
      <c r="B31" s="916" t="s">
        <v>1963</v>
      </c>
      <c r="C31" s="14"/>
      <c r="D31" s="14"/>
      <c r="E31" s="14"/>
      <c r="F31" s="14"/>
      <c r="G31" s="14"/>
      <c r="H31" s="14"/>
      <c r="I31" s="15" t="str">
        <f>"34-UnfundedReserves, Line "&amp;'34-UnfundedReserves'!A9&amp;""</f>
        <v>34-UnfundedReserves, Line 6</v>
      </c>
      <c r="J31" s="14"/>
      <c r="K31" s="63">
        <f>'34-UnfundedReserves'!K9</f>
        <v>-198887800.82526767</v>
      </c>
    </row>
    <row r="32" spans="1:11" ht="13">
      <c r="A32" s="572">
        <f>A31+1</f>
        <v>17</v>
      </c>
      <c r="B32" s="916" t="s">
        <v>55</v>
      </c>
      <c r="C32" s="14"/>
      <c r="D32" s="14"/>
      <c r="E32" s="14"/>
      <c r="F32" s="14"/>
      <c r="G32" s="14"/>
      <c r="H32" s="14" t="s">
        <v>151</v>
      </c>
      <c r="I32" s="15" t="str">
        <f>"22-NUCs, Line "&amp;'22-NUCs'!A11&amp;""</f>
        <v>22-NUCs, Line 4</v>
      </c>
      <c r="J32" s="14"/>
      <c r="K32" s="63">
        <f>-'22-NUCs'!E11</f>
        <v>-36762569.307422847</v>
      </c>
    </row>
    <row r="33" spans="1:11" ht="13">
      <c r="A33" s="109"/>
      <c r="B33" s="916"/>
      <c r="C33" s="14"/>
      <c r="D33" s="14"/>
      <c r="E33" s="14"/>
      <c r="F33" s="14"/>
      <c r="G33" s="14"/>
      <c r="H33" s="14"/>
      <c r="I33" s="14"/>
      <c r="J33" s="14"/>
      <c r="K33" s="14"/>
    </row>
    <row r="34" spans="1:11" ht="13">
      <c r="A34" s="572">
        <f>A32+1</f>
        <v>18</v>
      </c>
      <c r="B34" s="14" t="s">
        <v>173</v>
      </c>
      <c r="C34" s="14"/>
      <c r="D34" s="14"/>
      <c r="E34" s="14"/>
      <c r="F34" s="14"/>
      <c r="G34" s="14"/>
      <c r="H34" s="14"/>
      <c r="I34" s="15" t="str">
        <f>"L"&amp;A9&amp;" + L"&amp;A10&amp;" + L"&amp;A11&amp;" + L"&amp;A12&amp;" + L"&amp;A18&amp;" + L"&amp;A24&amp;" +"</f>
        <v>L1 + L2 + L3 + L4 + L8 + L12 +</v>
      </c>
      <c r="J34" s="14"/>
      <c r="K34" s="63">
        <f>K9+K10+K11+K12+K18+K24+K26+K28+K30+K31+K32</f>
        <v>6427727132.166563</v>
      </c>
    </row>
    <row r="35" spans="1:11" ht="13">
      <c r="A35" s="109"/>
      <c r="B35" s="14"/>
      <c r="C35" s="14"/>
      <c r="D35" s="14"/>
      <c r="E35" s="14"/>
      <c r="F35" s="14"/>
      <c r="G35" s="14"/>
      <c r="H35" s="14"/>
      <c r="I35" s="108" t="str">
        <f>"L"&amp;A26&amp;" + L"&amp;A28&amp;"+ L"&amp;A30&amp;"+ L"&amp;A31&amp;" + L"&amp;A32&amp;""</f>
        <v>L13 + L14+ L15+ L16 + L17</v>
      </c>
      <c r="J35" s="14"/>
      <c r="K35" s="63"/>
    </row>
    <row r="37" spans="1:11" ht="13">
      <c r="A37" s="10" t="s">
        <v>251</v>
      </c>
      <c r="B37" s="11"/>
      <c r="C37" s="11"/>
      <c r="D37" s="11"/>
      <c r="E37" s="11"/>
      <c r="F37" s="11"/>
      <c r="G37" s="11"/>
      <c r="H37" s="9"/>
      <c r="I37" s="9"/>
      <c r="J37" s="9"/>
      <c r="K37" s="9"/>
    </row>
    <row r="39" spans="1:11" ht="13">
      <c r="A39" s="2">
        <f>A34+1</f>
        <v>19</v>
      </c>
      <c r="B39" s="478" t="s">
        <v>1768</v>
      </c>
      <c r="C39" s="14"/>
      <c r="D39" s="14"/>
      <c r="H39" s="1054" t="s">
        <v>2612</v>
      </c>
      <c r="I39" s="476" t="s">
        <v>2278</v>
      </c>
      <c r="K39" s="6">
        <v>329452981</v>
      </c>
    </row>
    <row r="40" spans="1:11" ht="13">
      <c r="A40" s="2">
        <f>A39+1</f>
        <v>20</v>
      </c>
      <c r="B40" s="112" t="s">
        <v>57</v>
      </c>
      <c r="C40" s="14"/>
      <c r="D40" s="14"/>
      <c r="H40" s="1048"/>
      <c r="I40" s="15" t="str">
        <f>"27-Allocators, Line "&amp;'27-Allocators'!A23&amp;""</f>
        <v>27-Allocators, Line 18</v>
      </c>
      <c r="K40" s="8">
        <f>'27-Allocators'!G23</f>
        <v>0.18668153702052509</v>
      </c>
    </row>
    <row r="41" spans="1:11" ht="13">
      <c r="A41" s="2">
        <f>A40+1</f>
        <v>21</v>
      </c>
      <c r="B41" s="14" t="s">
        <v>60</v>
      </c>
      <c r="C41" s="14"/>
      <c r="D41" s="14"/>
      <c r="H41" s="1048"/>
      <c r="I41" s="15" t="str">
        <f>"Line "&amp;A39&amp;" * Line "&amp;A40&amp;""</f>
        <v>Line 19 * Line 20</v>
      </c>
      <c r="K41" s="7">
        <f>K39*K40</f>
        <v>61502788.869073845</v>
      </c>
    </row>
    <row r="42" spans="1:11" ht="13">
      <c r="A42" s="2" t="s">
        <v>329</v>
      </c>
      <c r="B42" s="14"/>
      <c r="C42" s="14"/>
      <c r="D42" s="14"/>
      <c r="H42" s="476"/>
      <c r="I42" s="14"/>
      <c r="K42" s="8"/>
    </row>
    <row r="43" spans="1:11" ht="13">
      <c r="A43" s="2">
        <f>A41+1</f>
        <v>22</v>
      </c>
      <c r="B43" s="15" t="s">
        <v>252</v>
      </c>
      <c r="C43" s="14"/>
      <c r="D43" s="14"/>
      <c r="H43" s="1048"/>
      <c r="I43" s="14"/>
      <c r="K43" s="8"/>
    </row>
    <row r="44" spans="1:11" ht="13">
      <c r="A44" s="2">
        <f t="shared" ref="A44:A56" si="0">A43+1</f>
        <v>23</v>
      </c>
      <c r="B44" s="112" t="s">
        <v>16</v>
      </c>
      <c r="C44" s="14"/>
      <c r="D44" s="14"/>
      <c r="E44" s="1"/>
      <c r="F44" s="1"/>
      <c r="G44" s="1"/>
      <c r="H44" s="1048"/>
      <c r="I44" s="15" t="str">
        <f>"Line "&amp;A45&amp;" + Line "&amp;A46&amp;"+ Line "&amp;A47&amp;""</f>
        <v>Line 24 + Line 25+ Line 26</v>
      </c>
      <c r="K44" s="63">
        <f>SUM(K45:K47)</f>
        <v>117647986</v>
      </c>
    </row>
    <row r="45" spans="1:11" ht="13">
      <c r="A45" s="2">
        <f t="shared" si="0"/>
        <v>24</v>
      </c>
      <c r="B45" s="375" t="s">
        <v>39</v>
      </c>
      <c r="C45" s="14"/>
      <c r="D45" s="14"/>
      <c r="E45" s="1"/>
      <c r="F45" s="1"/>
      <c r="G45" s="1"/>
      <c r="H45" s="1054" t="s">
        <v>2458</v>
      </c>
      <c r="I45" s="476" t="s">
        <v>2278</v>
      </c>
      <c r="K45" s="6">
        <v>116228864</v>
      </c>
    </row>
    <row r="46" spans="1:11" ht="13">
      <c r="A46" s="2">
        <f t="shared" si="0"/>
        <v>25</v>
      </c>
      <c r="B46" s="375" t="s">
        <v>40</v>
      </c>
      <c r="C46" s="14"/>
      <c r="D46" s="14"/>
      <c r="E46" s="1"/>
      <c r="F46" s="1"/>
      <c r="G46" s="1"/>
      <c r="H46" s="1054" t="s">
        <v>2459</v>
      </c>
      <c r="I46" s="476" t="s">
        <v>2278</v>
      </c>
      <c r="K46" s="6">
        <v>1175852</v>
      </c>
    </row>
    <row r="47" spans="1:11" ht="13">
      <c r="A47" s="2">
        <f t="shared" si="0"/>
        <v>26</v>
      </c>
      <c r="B47" s="375" t="s">
        <v>41</v>
      </c>
      <c r="C47" s="14"/>
      <c r="D47" s="14"/>
      <c r="E47" s="1"/>
      <c r="F47" s="1"/>
      <c r="G47" s="1"/>
      <c r="H47" s="1054" t="s">
        <v>2460</v>
      </c>
      <c r="I47" s="476" t="s">
        <v>2278</v>
      </c>
      <c r="K47" s="6">
        <v>243270</v>
      </c>
    </row>
    <row r="48" spans="1:11" ht="13">
      <c r="A48" s="2">
        <f t="shared" si="0"/>
        <v>27</v>
      </c>
      <c r="B48" s="475" t="s">
        <v>1769</v>
      </c>
      <c r="C48" s="14"/>
      <c r="D48" s="14"/>
      <c r="H48" s="1054" t="s">
        <v>2609</v>
      </c>
      <c r="I48" s="476" t="s">
        <v>2278</v>
      </c>
      <c r="K48" s="6">
        <v>5948364</v>
      </c>
    </row>
    <row r="49" spans="1:11" ht="13">
      <c r="A49" s="2">
        <f t="shared" si="0"/>
        <v>28</v>
      </c>
      <c r="B49" s="112" t="s">
        <v>1770</v>
      </c>
      <c r="C49" s="14"/>
      <c r="D49" s="14"/>
      <c r="H49" s="1054" t="s">
        <v>2461</v>
      </c>
      <c r="I49" s="476" t="s">
        <v>2278</v>
      </c>
      <c r="K49" s="6">
        <v>1718978</v>
      </c>
    </row>
    <row r="50" spans="1:11" ht="13">
      <c r="A50" s="554">
        <f t="shared" si="0"/>
        <v>29</v>
      </c>
      <c r="B50" s="112" t="s">
        <v>1627</v>
      </c>
      <c r="C50" s="14"/>
      <c r="D50" s="14"/>
      <c r="H50" s="1054" t="s">
        <v>2610</v>
      </c>
      <c r="I50" s="476" t="s">
        <v>2278</v>
      </c>
      <c r="K50" s="6">
        <v>1879323</v>
      </c>
    </row>
    <row r="51" spans="1:11" ht="13">
      <c r="A51" s="554">
        <f t="shared" si="0"/>
        <v>30</v>
      </c>
      <c r="B51" s="112" t="s">
        <v>1771</v>
      </c>
      <c r="C51" s="14"/>
      <c r="D51" s="14"/>
      <c r="H51" s="1054" t="s">
        <v>2611</v>
      </c>
      <c r="I51" s="476" t="s">
        <v>2278</v>
      </c>
      <c r="K51" s="6">
        <v>39927</v>
      </c>
    </row>
    <row r="52" spans="1:11" ht="13">
      <c r="A52" s="554">
        <f t="shared" si="0"/>
        <v>31</v>
      </c>
      <c r="B52" t="s">
        <v>61</v>
      </c>
      <c r="I52" s="15" t="str">
        <f>"Line "&amp;A44&amp;" + (Line "&amp;A48&amp;" to Line "&amp;A51&amp;")"</f>
        <v>Line 23 + (Line 27 to Line 30)</v>
      </c>
      <c r="K52" s="7">
        <f>K44+K48+K49+K50+K51</f>
        <v>127234578</v>
      </c>
    </row>
    <row r="53" spans="1:11" ht="13">
      <c r="A53" s="554">
        <f t="shared" si="0"/>
        <v>32</v>
      </c>
      <c r="B53" s="478" t="s">
        <v>1628</v>
      </c>
      <c r="C53" s="14"/>
      <c r="D53" s="14"/>
      <c r="E53" s="14"/>
      <c r="F53" s="14"/>
      <c r="G53" s="14"/>
      <c r="H53" s="478"/>
      <c r="I53" s="478" t="str">
        <f>"26-TaxRates, Line "&amp;'26-TaxRates'!A22&amp;""</f>
        <v>26-TaxRates, Line 16</v>
      </c>
      <c r="K53" s="234">
        <f>'26-TaxRates'!F22</f>
        <v>57891732.990000002</v>
      </c>
    </row>
    <row r="54" spans="1:11" ht="13">
      <c r="A54" s="554">
        <f t="shared" si="0"/>
        <v>33</v>
      </c>
      <c r="B54" s="14" t="s">
        <v>1313</v>
      </c>
      <c r="C54" s="14"/>
      <c r="D54" s="14"/>
      <c r="E54" s="14"/>
      <c r="F54" s="14"/>
      <c r="G54" s="14"/>
      <c r="I54" s="15" t="str">
        <f>"Line "&amp;A52&amp;" - Line "&amp;A53&amp;""</f>
        <v>Line 31 - Line 32</v>
      </c>
      <c r="K54" s="7">
        <f>K52-K53</f>
        <v>69342845.00999999</v>
      </c>
    </row>
    <row r="55" spans="1:11" ht="13">
      <c r="A55" s="554">
        <f t="shared" si="0"/>
        <v>34</v>
      </c>
      <c r="B55" s="13" t="s">
        <v>93</v>
      </c>
      <c r="I55" s="15" t="str">
        <f>"27-Allocators, Line "&amp;'27-Allocators'!A10&amp;""</f>
        <v>27-Allocators, Line 5</v>
      </c>
      <c r="K55" s="8">
        <f>'27-Allocators'!G10</f>
        <v>6.5693761162178274E-2</v>
      </c>
    </row>
    <row r="56" spans="1:11" ht="13">
      <c r="A56" s="554">
        <f t="shared" si="0"/>
        <v>35</v>
      </c>
      <c r="B56" s="50" t="s">
        <v>252</v>
      </c>
      <c r="I56" s="15" t="str">
        <f>"Line "&amp;A54&amp;" * Line "&amp;A55&amp;""</f>
        <v>Line 33 * Line 34</v>
      </c>
      <c r="K56" s="7">
        <f>K54*K55</f>
        <v>4555392.2983928854</v>
      </c>
    </row>
    <row r="57" spans="1:11" ht="13">
      <c r="A57" s="2"/>
      <c r="K57" s="7"/>
    </row>
    <row r="58" spans="1:11" ht="13">
      <c r="A58" s="2">
        <f>A56+1</f>
        <v>36</v>
      </c>
      <c r="B58" s="12" t="s">
        <v>79</v>
      </c>
      <c r="H58" s="476" t="s">
        <v>360</v>
      </c>
      <c r="I58" s="12" t="str">
        <f>"Line "&amp;A41&amp;" + Line "&amp;A56&amp;""</f>
        <v>Line 21 + Line 35</v>
      </c>
      <c r="K58" s="7">
        <f>K41+K56</f>
        <v>66058181.16746673</v>
      </c>
    </row>
    <row r="60" spans="1:11" ht="13">
      <c r="A60" s="10" t="s">
        <v>177</v>
      </c>
      <c r="B60" s="11"/>
      <c r="C60" s="11"/>
      <c r="D60" s="11"/>
      <c r="E60" s="11"/>
      <c r="F60" s="11"/>
      <c r="G60" s="11"/>
      <c r="H60" s="9"/>
      <c r="I60" s="9"/>
      <c r="J60" s="9"/>
      <c r="K60" s="9"/>
    </row>
    <row r="61" spans="1:11" ht="13">
      <c r="A61" s="44"/>
      <c r="B61" s="15"/>
      <c r="C61" s="15"/>
      <c r="D61" s="15"/>
      <c r="E61" s="15"/>
      <c r="F61" s="15"/>
      <c r="G61" s="15"/>
      <c r="H61" s="15"/>
      <c r="I61" s="15"/>
      <c r="J61" s="15"/>
      <c r="K61" s="15"/>
    </row>
    <row r="62" spans="1:11">
      <c r="A62" s="104"/>
      <c r="B62" s="45" t="s">
        <v>26</v>
      </c>
      <c r="C62" s="15"/>
      <c r="D62" s="15"/>
      <c r="E62" s="15"/>
      <c r="F62" s="15"/>
      <c r="G62" s="15"/>
      <c r="H62" s="15"/>
      <c r="I62" s="15"/>
      <c r="J62" s="15"/>
      <c r="K62" s="15"/>
    </row>
    <row r="63" spans="1:11" ht="13">
      <c r="A63" s="109">
        <f>A58+1</f>
        <v>37</v>
      </c>
      <c r="B63" s="15" t="s">
        <v>209</v>
      </c>
      <c r="C63" s="15"/>
      <c r="D63" s="15"/>
      <c r="E63" s="15"/>
      <c r="F63" s="15"/>
      <c r="G63" s="15"/>
      <c r="H63" s="15"/>
      <c r="I63" s="478" t="s">
        <v>2613</v>
      </c>
      <c r="J63" s="15"/>
      <c r="K63" s="490">
        <f>'5-ROR-1'!L16</f>
        <v>14367696054.330769</v>
      </c>
    </row>
    <row r="64" spans="1:11" ht="13">
      <c r="A64" s="2">
        <f>A63+1</f>
        <v>38</v>
      </c>
      <c r="B64" s="15" t="s">
        <v>253</v>
      </c>
      <c r="C64" s="15"/>
      <c r="D64" s="15"/>
      <c r="E64" s="15"/>
      <c r="F64" s="15"/>
      <c r="G64" s="15"/>
      <c r="H64" s="15"/>
      <c r="I64" s="478" t="s">
        <v>2614</v>
      </c>
      <c r="J64" s="478"/>
      <c r="K64" s="490">
        <f>'5-ROR-1'!L27</f>
        <v>655538361</v>
      </c>
    </row>
    <row r="65" spans="1:11" ht="13">
      <c r="A65" s="2">
        <f>A64+1</f>
        <v>39</v>
      </c>
      <c r="B65" s="15" t="s">
        <v>254</v>
      </c>
      <c r="C65" s="15"/>
      <c r="D65" s="15"/>
      <c r="E65" s="15"/>
      <c r="F65" s="15"/>
      <c r="G65" s="15"/>
      <c r="I65" s="478" t="s">
        <v>2615</v>
      </c>
      <c r="J65" s="15"/>
      <c r="K65" s="401">
        <f>'5-ROR-1'!L29</f>
        <v>4.5625851112183362E-2</v>
      </c>
    </row>
    <row r="66" spans="1:11" ht="13">
      <c r="A66" s="109"/>
      <c r="B66" s="15"/>
      <c r="C66" s="15"/>
      <c r="D66" s="15"/>
      <c r="E66" s="15"/>
      <c r="F66" s="15"/>
      <c r="G66" s="15"/>
      <c r="I66" s="15"/>
      <c r="J66" s="15"/>
      <c r="K66" s="48"/>
    </row>
    <row r="67" spans="1:11" ht="13">
      <c r="A67" s="109"/>
      <c r="B67" s="45" t="s">
        <v>27</v>
      </c>
      <c r="C67" s="15"/>
      <c r="D67" s="15"/>
      <c r="E67" s="15"/>
      <c r="F67" s="15"/>
      <c r="G67" s="15"/>
      <c r="H67" s="15"/>
      <c r="I67" s="15"/>
      <c r="J67" s="15"/>
      <c r="K67" s="1274"/>
    </row>
    <row r="68" spans="1:11" ht="13">
      <c r="A68" s="109">
        <f>A65+1</f>
        <v>40</v>
      </c>
      <c r="B68" s="478" t="s">
        <v>47</v>
      </c>
      <c r="C68" s="15"/>
      <c r="D68" s="15"/>
      <c r="E68" s="15"/>
      <c r="F68" s="15"/>
      <c r="G68" s="15"/>
      <c r="H68" s="15"/>
      <c r="I68" s="478" t="s">
        <v>2618</v>
      </c>
      <c r="J68" s="478"/>
      <c r="K68" s="490">
        <f>'5-ROR-1'!L35</f>
        <v>2192067551.2041321</v>
      </c>
    </row>
    <row r="69" spans="1:11" ht="13">
      <c r="A69" s="2">
        <f>A68+1</f>
        <v>41</v>
      </c>
      <c r="B69" s="478" t="s">
        <v>25</v>
      </c>
      <c r="C69" s="15"/>
      <c r="D69" s="15"/>
      <c r="E69" s="15"/>
      <c r="F69" s="15"/>
      <c r="G69" s="15"/>
      <c r="H69" s="15"/>
      <c r="I69" s="478" t="s">
        <v>2616</v>
      </c>
      <c r="J69" s="478"/>
      <c r="K69" s="490">
        <f>'5-ROR-1'!L41</f>
        <v>125382686.05206428</v>
      </c>
    </row>
    <row r="70" spans="1:11" ht="13">
      <c r="A70" s="2">
        <f>A69+1</f>
        <v>42</v>
      </c>
      <c r="B70" s="478" t="s">
        <v>43</v>
      </c>
      <c r="C70" s="15"/>
      <c r="D70" s="15"/>
      <c r="E70" s="15"/>
      <c r="F70" s="15"/>
      <c r="G70" s="15"/>
      <c r="I70" s="478" t="s">
        <v>2617</v>
      </c>
      <c r="J70" s="478"/>
      <c r="K70" s="401">
        <f>'5-ROR-1'!L43</f>
        <v>5.719836780722834E-2</v>
      </c>
    </row>
    <row r="71" spans="1:11" ht="13">
      <c r="A71" s="109"/>
      <c r="B71" s="15"/>
      <c r="C71" s="15"/>
      <c r="D71" s="15"/>
      <c r="E71" s="15"/>
      <c r="F71" s="15"/>
      <c r="G71" s="15"/>
      <c r="I71" s="15"/>
      <c r="J71" s="15"/>
      <c r="K71" s="48"/>
    </row>
    <row r="72" spans="1:11" ht="13">
      <c r="A72" s="109"/>
      <c r="B72" s="45" t="s">
        <v>28</v>
      </c>
      <c r="C72" s="15"/>
      <c r="D72" s="15"/>
      <c r="E72" s="15"/>
      <c r="F72" s="15"/>
      <c r="G72" s="15"/>
      <c r="H72" s="15"/>
      <c r="I72" s="15"/>
      <c r="J72" s="15"/>
      <c r="K72" s="15"/>
    </row>
    <row r="73" spans="1:11" ht="13">
      <c r="A73" s="109">
        <f>A70+1</f>
        <v>43</v>
      </c>
      <c r="B73" s="15" t="s">
        <v>44</v>
      </c>
      <c r="C73" s="15"/>
      <c r="D73" s="15"/>
      <c r="E73" s="15"/>
      <c r="F73" s="15"/>
      <c r="G73" s="15"/>
      <c r="H73" s="15"/>
      <c r="I73" s="478" t="str">
        <f>"5-ROR-1, Line "&amp;'5-ROR-1'!A51&amp;""</f>
        <v>5-ROR-1, Line 32</v>
      </c>
      <c r="J73" s="478"/>
      <c r="K73" s="490">
        <f>'5-ROR-1'!L51</f>
        <v>13505405076.650312</v>
      </c>
    </row>
    <row r="74" spans="1:11" ht="13">
      <c r="A74" s="109"/>
      <c r="B74" s="15"/>
      <c r="C74" s="15"/>
      <c r="D74" s="15"/>
      <c r="E74" s="15"/>
      <c r="F74" s="15"/>
      <c r="G74" s="15"/>
      <c r="H74" s="15"/>
      <c r="I74" s="64"/>
      <c r="J74" s="15"/>
      <c r="K74" s="15"/>
    </row>
    <row r="75" spans="1:11" ht="13">
      <c r="A75" s="2">
        <f>A73+1</f>
        <v>44</v>
      </c>
      <c r="B75" s="15" t="s">
        <v>46</v>
      </c>
      <c r="C75" s="15"/>
      <c r="D75" s="15"/>
      <c r="E75" s="15"/>
      <c r="F75" s="15"/>
      <c r="G75" s="15"/>
      <c r="H75" s="15"/>
      <c r="I75" s="12" t="str">
        <f>"Line "&amp;A63&amp;" + Line "&amp;A68&amp;" + Line "&amp;A73&amp;""</f>
        <v>Line 37 + Line 40 + Line 43</v>
      </c>
      <c r="J75" s="15"/>
      <c r="K75" s="47">
        <f>K63+K68+K73</f>
        <v>30065168682.185211</v>
      </c>
    </row>
    <row r="76" spans="1:11" ht="13">
      <c r="A76" s="109"/>
      <c r="B76" s="46"/>
      <c r="C76" s="15"/>
      <c r="D76" s="15"/>
      <c r="E76" s="15"/>
      <c r="F76" s="15"/>
      <c r="G76" s="15"/>
      <c r="I76" s="15"/>
      <c r="J76" s="15"/>
      <c r="K76" s="47"/>
    </row>
    <row r="77" spans="1:11" ht="13">
      <c r="A77" s="109"/>
      <c r="B77" s="45" t="s">
        <v>48</v>
      </c>
      <c r="C77" s="15"/>
      <c r="D77" s="15"/>
      <c r="E77" s="15"/>
      <c r="F77" s="15"/>
      <c r="G77" s="15"/>
      <c r="H77" s="15"/>
      <c r="I77" s="15"/>
      <c r="J77" s="15"/>
      <c r="K77" s="15"/>
    </row>
    <row r="78" spans="1:11" ht="13">
      <c r="A78" s="109">
        <f>A75+1</f>
        <v>45</v>
      </c>
      <c r="B78" s="15" t="s">
        <v>255</v>
      </c>
      <c r="C78" s="15"/>
      <c r="D78" s="15"/>
      <c r="E78" s="15"/>
      <c r="F78" s="15"/>
      <c r="G78" s="15"/>
      <c r="H78" s="15"/>
      <c r="I78" s="12" t="str">
        <f>"Line "&amp;A63&amp;" / Line "&amp;A75&amp;""</f>
        <v>Line 37 / Line 44</v>
      </c>
      <c r="J78" s="15"/>
      <c r="K78" s="48">
        <f>K63/K75</f>
        <v>0.47788509707727633</v>
      </c>
    </row>
    <row r="79" spans="1:11" ht="13">
      <c r="A79" s="2">
        <f>A78+1</f>
        <v>46</v>
      </c>
      <c r="B79" s="478" t="s">
        <v>256</v>
      </c>
      <c r="C79" s="15"/>
      <c r="D79" s="15"/>
      <c r="E79" s="15"/>
      <c r="F79" s="15"/>
      <c r="G79" s="15"/>
      <c r="H79" s="15"/>
      <c r="I79" s="12" t="str">
        <f>"Line "&amp;A68&amp;" / Line "&amp;A75&amp;""</f>
        <v>Line 40 / Line 44</v>
      </c>
      <c r="J79" s="15"/>
      <c r="K79" s="48">
        <f>K68/K75</f>
        <v>7.291053558941174E-2</v>
      </c>
    </row>
    <row r="80" spans="1:11" ht="13">
      <c r="A80" s="2">
        <f>A79+1</f>
        <v>47</v>
      </c>
      <c r="B80" s="15" t="s">
        <v>49</v>
      </c>
      <c r="C80" s="15"/>
      <c r="D80" s="15"/>
      <c r="E80" s="15"/>
      <c r="F80" s="15"/>
      <c r="G80" s="15"/>
      <c r="H80" s="15"/>
      <c r="I80" s="12" t="str">
        <f>"Line "&amp;A73&amp;" / Line "&amp;A75&amp;""</f>
        <v>Line 43 / Line 44</v>
      </c>
      <c r="J80" s="15"/>
      <c r="K80" s="49">
        <f>K73/K75</f>
        <v>0.44920436733331198</v>
      </c>
    </row>
    <row r="81" spans="1:11" ht="13">
      <c r="A81" s="109"/>
      <c r="B81" s="15"/>
      <c r="C81" s="15"/>
      <c r="D81" s="15"/>
      <c r="E81" s="15"/>
      <c r="F81" s="15"/>
      <c r="G81" s="15"/>
      <c r="H81" s="15"/>
      <c r="I81" s="12" t="str">
        <f>"Line "&amp;A78&amp;" + Line "&amp;A79&amp;"+ Line "&amp;A80&amp;""</f>
        <v>Line 45 + Line 46+ Line 47</v>
      </c>
      <c r="J81" s="15"/>
      <c r="K81" s="48">
        <f>SUM(K78:K80)</f>
        <v>1</v>
      </c>
    </row>
    <row r="82" spans="1:11" ht="13">
      <c r="A82" s="109"/>
      <c r="B82" s="45" t="s">
        <v>220</v>
      </c>
      <c r="C82" s="15"/>
      <c r="D82" s="15"/>
      <c r="E82" s="15"/>
      <c r="F82" s="15"/>
      <c r="G82" s="15"/>
      <c r="H82" s="15"/>
      <c r="I82" s="15"/>
      <c r="J82" s="15"/>
      <c r="K82" s="48"/>
    </row>
    <row r="83" spans="1:11" ht="13">
      <c r="A83" s="109">
        <f>A80+1</f>
        <v>48</v>
      </c>
      <c r="B83" s="15" t="s">
        <v>254</v>
      </c>
      <c r="C83" s="15"/>
      <c r="D83" s="15"/>
      <c r="E83" s="15"/>
      <c r="F83" s="15"/>
      <c r="G83" s="15"/>
      <c r="I83" s="12" t="str">
        <f>"Line "&amp;A65&amp;""</f>
        <v>Line 39</v>
      </c>
      <c r="J83" s="15"/>
      <c r="K83" s="48">
        <f>K65</f>
        <v>4.5625851112183362E-2</v>
      </c>
    </row>
    <row r="84" spans="1:11" ht="13">
      <c r="A84" s="2">
        <f>A83+1</f>
        <v>49</v>
      </c>
      <c r="B84" s="478" t="s">
        <v>43</v>
      </c>
      <c r="C84" s="15"/>
      <c r="D84" s="15"/>
      <c r="E84" s="15"/>
      <c r="F84" s="15"/>
      <c r="G84" s="15"/>
      <c r="I84" s="12" t="str">
        <f>"Line "&amp;A70&amp;""</f>
        <v>Line 42</v>
      </c>
      <c r="J84" s="15"/>
      <c r="K84" s="48">
        <f>K70</f>
        <v>5.719836780722834E-2</v>
      </c>
    </row>
    <row r="85" spans="1:11" ht="13">
      <c r="A85" s="2">
        <f>A84+1</f>
        <v>50</v>
      </c>
      <c r="B85" s="478" t="s">
        <v>1720</v>
      </c>
      <c r="C85" s="15"/>
      <c r="D85" s="15"/>
      <c r="E85" s="15"/>
      <c r="F85" s="15"/>
      <c r="G85" s="15"/>
      <c r="H85" s="476" t="s">
        <v>361</v>
      </c>
      <c r="I85" s="15" t="s">
        <v>213</v>
      </c>
      <c r="J85" s="15"/>
      <c r="K85" s="516">
        <v>0.112</v>
      </c>
    </row>
    <row r="86" spans="1:11" ht="13">
      <c r="A86" s="109"/>
      <c r="B86" s="15"/>
      <c r="C86" s="15"/>
      <c r="D86" s="15"/>
      <c r="E86" s="15"/>
      <c r="F86" s="15"/>
      <c r="G86" s="15"/>
      <c r="I86" s="69"/>
      <c r="J86" s="15"/>
      <c r="K86" s="48"/>
    </row>
    <row r="87" spans="1:11" ht="13">
      <c r="A87" s="109"/>
      <c r="B87" s="45" t="s">
        <v>259</v>
      </c>
      <c r="C87" s="15"/>
      <c r="D87" s="15"/>
      <c r="E87" s="15"/>
      <c r="F87" s="15"/>
      <c r="G87" s="15"/>
      <c r="H87" s="15"/>
      <c r="I87" s="15"/>
      <c r="J87" s="15"/>
      <c r="K87" s="15"/>
    </row>
    <row r="88" spans="1:11" ht="13">
      <c r="A88" s="109">
        <f>A85+1</f>
        <v>51</v>
      </c>
      <c r="B88" s="15" t="s">
        <v>50</v>
      </c>
      <c r="C88" s="15"/>
      <c r="D88" s="15"/>
      <c r="E88" s="15"/>
      <c r="F88" s="15"/>
      <c r="G88" s="15"/>
      <c r="I88" s="12" t="str">
        <f>"Line "&amp;A65&amp;" * Line "&amp;A78&amp;""</f>
        <v>Line 39 * Line 45</v>
      </c>
      <c r="J88" s="15"/>
      <c r="K88" s="48">
        <f>K65*K78</f>
        <v>2.1803914287979103E-2</v>
      </c>
    </row>
    <row r="89" spans="1:11" ht="13">
      <c r="A89" s="2">
        <f>A88+1</f>
        <v>52</v>
      </c>
      <c r="B89" s="478" t="s">
        <v>51</v>
      </c>
      <c r="C89" s="15"/>
      <c r="D89" s="15"/>
      <c r="E89" s="15"/>
      <c r="F89" s="15"/>
      <c r="G89" s="15"/>
      <c r="I89" s="12" t="str">
        <f>"Line "&amp;A70&amp;" * Line "&amp;A79&amp;""</f>
        <v>Line 42 * Line 46</v>
      </c>
      <c r="J89" s="15"/>
      <c r="K89" s="48">
        <f>K70*K79</f>
        <v>4.1703636316651844E-3</v>
      </c>
    </row>
    <row r="90" spans="1:11" ht="13">
      <c r="A90" s="2">
        <f>A89+1</f>
        <v>53</v>
      </c>
      <c r="B90" s="15" t="s">
        <v>52</v>
      </c>
      <c r="C90" s="15"/>
      <c r="D90" s="15"/>
      <c r="E90" s="15"/>
      <c r="F90" s="15"/>
      <c r="G90" s="15"/>
      <c r="I90" s="12" t="str">
        <f>"Line "&amp;A80&amp;" * Line "&amp;A85&amp;""</f>
        <v>Line 47 * Line 50</v>
      </c>
      <c r="J90" s="15"/>
      <c r="K90" s="49">
        <f>K80*K85</f>
        <v>5.0310889141330944E-2</v>
      </c>
    </row>
    <row r="91" spans="1:11" ht="13">
      <c r="A91" s="109">
        <f>A90+1</f>
        <v>54</v>
      </c>
      <c r="B91" s="46" t="s">
        <v>53</v>
      </c>
      <c r="C91" s="15"/>
      <c r="D91" s="15"/>
      <c r="E91" s="15"/>
      <c r="F91" s="15"/>
      <c r="G91" s="15"/>
      <c r="H91" s="14"/>
      <c r="I91" s="15" t="str">
        <f>"Line "&amp;A88&amp;" + Line "&amp;A89&amp;" + Line "&amp;A90&amp;""</f>
        <v>Line 51 + Line 52 + Line 53</v>
      </c>
      <c r="J91" s="15"/>
      <c r="K91" s="401">
        <f>SUM(K88:K90)</f>
        <v>7.628516706097524E-2</v>
      </c>
    </row>
    <row r="92" spans="1:11" ht="13">
      <c r="A92" s="109"/>
      <c r="B92" s="46"/>
      <c r="C92" s="15"/>
      <c r="D92" s="15"/>
      <c r="E92" s="15"/>
      <c r="F92" s="15"/>
      <c r="G92" s="15"/>
      <c r="I92" s="15"/>
      <c r="J92" s="15"/>
      <c r="K92" s="1205"/>
    </row>
    <row r="93" spans="1:11" ht="13">
      <c r="A93" s="109">
        <f>A91+1</f>
        <v>55</v>
      </c>
      <c r="B93" s="917" t="s">
        <v>1721</v>
      </c>
      <c r="C93" s="15"/>
      <c r="D93" s="15"/>
      <c r="E93" s="15"/>
      <c r="F93" s="15"/>
      <c r="G93" s="15"/>
      <c r="H93" s="15" t="s">
        <v>215</v>
      </c>
      <c r="I93" s="15" t="str">
        <f>"Line "&amp;A89&amp;" + Line "&amp;A90&amp;""</f>
        <v>Line 52 + Line 53</v>
      </c>
      <c r="J93" s="15"/>
      <c r="K93" s="401">
        <f>K89+K90</f>
        <v>5.4481252772996126E-2</v>
      </c>
    </row>
    <row r="94" spans="1:11" ht="13">
      <c r="A94" s="109"/>
      <c r="B94" s="15"/>
      <c r="C94" s="15"/>
      <c r="D94" s="15"/>
      <c r="E94" s="15"/>
      <c r="F94" s="15"/>
      <c r="G94" s="15"/>
      <c r="I94" s="15"/>
      <c r="J94" s="15"/>
      <c r="K94" s="1205"/>
    </row>
    <row r="95" spans="1:11" ht="13">
      <c r="A95" s="2">
        <f>A93+1</f>
        <v>56</v>
      </c>
      <c r="B95" s="15" t="s">
        <v>54</v>
      </c>
      <c r="C95" s="15"/>
      <c r="D95" s="15"/>
      <c r="E95" s="15"/>
      <c r="F95" s="15"/>
      <c r="G95" s="15"/>
      <c r="I95" s="12" t="str">
        <f>"Line "&amp;A34&amp;" * Line "&amp;A91&amp;""</f>
        <v>Line 18 * Line 54</v>
      </c>
      <c r="J95" s="15"/>
      <c r="K95" s="47">
        <f>K34*K91</f>
        <v>490340238.09968954</v>
      </c>
    </row>
    <row r="96" spans="1:11">
      <c r="A96" s="87"/>
      <c r="B96" s="12"/>
      <c r="C96" s="12"/>
      <c r="D96" s="12"/>
      <c r="E96" s="12"/>
      <c r="F96" s="12"/>
      <c r="G96" s="12"/>
      <c r="H96" s="12"/>
      <c r="I96" s="12"/>
      <c r="J96" s="12"/>
      <c r="K96" s="12"/>
    </row>
    <row r="97" spans="1:11">
      <c r="A97" s="12"/>
      <c r="B97" s="12"/>
      <c r="C97" s="12"/>
      <c r="D97" s="12"/>
      <c r="E97" s="12"/>
      <c r="F97" s="12"/>
      <c r="G97" s="12"/>
      <c r="H97" s="12"/>
      <c r="I97" s="12"/>
      <c r="J97" s="12"/>
      <c r="K97" s="12"/>
    </row>
    <row r="98" spans="1:11" ht="13">
      <c r="A98" s="10" t="s">
        <v>178</v>
      </c>
      <c r="B98" s="11"/>
      <c r="C98" s="11"/>
      <c r="D98" s="11"/>
      <c r="E98" s="11"/>
      <c r="F98" s="11"/>
      <c r="G98" s="11"/>
      <c r="H98" s="9"/>
      <c r="I98" s="9"/>
      <c r="J98" s="9"/>
      <c r="K98" s="9"/>
    </row>
    <row r="100" spans="1:11" ht="13">
      <c r="A100" s="109">
        <f>A95+1</f>
        <v>57</v>
      </c>
      <c r="B100" t="s">
        <v>214</v>
      </c>
      <c r="I100" s="14" t="str">
        <f>"26-Tax Rates, Line "&amp;'26-TaxRates'!A7&amp;""</f>
        <v>26-Tax Rates, Line 1</v>
      </c>
      <c r="K100" s="67">
        <f>'26-TaxRates'!D7</f>
        <v>0.21</v>
      </c>
    </row>
    <row r="101" spans="1:11" ht="13">
      <c r="A101" s="2">
        <f>A100+1</f>
        <v>58</v>
      </c>
      <c r="B101" s="12" t="s">
        <v>258</v>
      </c>
      <c r="I101" s="14" t="str">
        <f>"26-Tax Rates, Line "&amp;'26-TaxRates'!A14&amp;""</f>
        <v>26-Tax Rates, Line 8</v>
      </c>
      <c r="K101" s="67">
        <f>'26-TaxRates'!D14</f>
        <v>8.8400000000000006E-2</v>
      </c>
    </row>
    <row r="102" spans="1:11" ht="13">
      <c r="A102" s="2">
        <f>A101+1</f>
        <v>59</v>
      </c>
      <c r="B102" s="12" t="s">
        <v>257</v>
      </c>
      <c r="H102" s="52" t="s">
        <v>1641</v>
      </c>
      <c r="I102" s="12" t="str">
        <f>"(L"&amp;A100&amp;" + L"&amp;A101&amp;") - (L"&amp;A100&amp;" * L"&amp;A101&amp;")"</f>
        <v>(L57 + L58) - (L57 * L58)</v>
      </c>
      <c r="K102" s="8">
        <f>(K100+K101)-(K100*K101)</f>
        <v>0.27983599999999997</v>
      </c>
    </row>
    <row r="103" spans="1:11" ht="13">
      <c r="A103" s="2"/>
      <c r="K103" s="8"/>
    </row>
    <row r="104" spans="1:11" ht="13">
      <c r="A104" s="2"/>
      <c r="B104" s="75" t="s">
        <v>260</v>
      </c>
      <c r="K104" s="8"/>
    </row>
    <row r="105" spans="1:11" ht="13">
      <c r="A105" s="109">
        <f>A102+1</f>
        <v>60</v>
      </c>
      <c r="B105" s="549" t="s">
        <v>2481</v>
      </c>
      <c r="C105" s="14"/>
      <c r="D105" s="14"/>
      <c r="E105" s="14"/>
      <c r="F105" s="14"/>
      <c r="G105" s="14"/>
      <c r="H105" s="476" t="s">
        <v>1157</v>
      </c>
      <c r="I105" s="14"/>
      <c r="K105" s="509">
        <v>-29467842</v>
      </c>
    </row>
    <row r="106" spans="1:11" ht="13">
      <c r="A106" s="109">
        <f>A105+1</f>
        <v>61</v>
      </c>
      <c r="B106" s="549" t="s">
        <v>1817</v>
      </c>
      <c r="C106" s="14"/>
      <c r="D106" s="14"/>
      <c r="E106" s="14"/>
      <c r="F106" s="14"/>
      <c r="G106" s="14"/>
      <c r="H106" s="476" t="s">
        <v>1157</v>
      </c>
      <c r="I106" s="14"/>
      <c r="K106" s="1072">
        <v>-183000</v>
      </c>
    </row>
    <row r="107" spans="1:11" ht="13">
      <c r="A107" s="109">
        <f>A106+1</f>
        <v>62</v>
      </c>
      <c r="B107" s="549" t="s">
        <v>1818</v>
      </c>
      <c r="C107" s="14"/>
      <c r="D107" s="14"/>
      <c r="E107" s="14"/>
      <c r="F107" s="14"/>
      <c r="G107" s="14"/>
      <c r="H107" s="476" t="s">
        <v>1157</v>
      </c>
      <c r="I107" s="14"/>
      <c r="K107" s="110">
        <v>2606000</v>
      </c>
    </row>
    <row r="108" spans="1:11" ht="13">
      <c r="A108" s="109">
        <f>A107+1</f>
        <v>63</v>
      </c>
      <c r="B108" s="13" t="s">
        <v>261</v>
      </c>
      <c r="I108" s="476" t="str">
        <f>"Line "&amp;A105&amp;" + Line "&amp;A106&amp;"+ Line "&amp;A107&amp;""</f>
        <v>Line 60 + Line 61+ Line 62</v>
      </c>
      <c r="K108" s="63">
        <f>SUM(K105:K107)</f>
        <v>-27044842</v>
      </c>
    </row>
    <row r="109" spans="1:11" ht="13">
      <c r="A109" s="1244"/>
    </row>
    <row r="110" spans="1:11" ht="13">
      <c r="A110" s="109">
        <f>A108+1</f>
        <v>64</v>
      </c>
      <c r="B110" s="12" t="s">
        <v>262</v>
      </c>
      <c r="I110" t="str">
        <f>"Formula on Line "&amp;A112&amp;""</f>
        <v>Formula on Line 65</v>
      </c>
      <c r="K110" s="63">
        <f>(((K34*K93) + K119)*(K102/(1-K102)))+(K108/(1-K102))</f>
        <v>100042843.33737013</v>
      </c>
    </row>
    <row r="111" spans="1:11" ht="13">
      <c r="A111" s="109"/>
    </row>
    <row r="112" spans="1:11" ht="13">
      <c r="A112" s="109">
        <f>A110+1</f>
        <v>65</v>
      </c>
      <c r="B112" s="478" t="s">
        <v>2152</v>
      </c>
      <c r="C112" s="478"/>
      <c r="D112" s="478"/>
      <c r="E112" s="478"/>
      <c r="F112" s="478"/>
      <c r="G112" s="478"/>
    </row>
    <row r="113" spans="1:11">
      <c r="A113" s="61"/>
      <c r="I113" s="12"/>
    </row>
    <row r="114" spans="1:11">
      <c r="A114" s="61"/>
      <c r="C114" t="s">
        <v>216</v>
      </c>
    </row>
    <row r="115" spans="1:11">
      <c r="A115" s="61"/>
      <c r="C115" s="112" t="s">
        <v>217</v>
      </c>
      <c r="D115" s="14"/>
      <c r="E115" s="14"/>
      <c r="F115" s="14"/>
      <c r="G115" s="14"/>
      <c r="H115" s="14"/>
      <c r="I115" s="15" t="str">
        <f>"Line "&amp;A34&amp;""</f>
        <v>Line 18</v>
      </c>
    </row>
    <row r="116" spans="1:11">
      <c r="A116" s="61"/>
      <c r="C116" s="475" t="s">
        <v>1722</v>
      </c>
      <c r="D116" s="14"/>
      <c r="E116" s="14"/>
      <c r="F116" s="14"/>
      <c r="G116" s="14"/>
      <c r="H116" s="14"/>
      <c r="I116" s="15" t="str">
        <f>"Line "&amp;A93&amp;""</f>
        <v>Line 55</v>
      </c>
    </row>
    <row r="117" spans="1:11">
      <c r="A117" s="61"/>
      <c r="C117" s="112" t="s">
        <v>218</v>
      </c>
      <c r="D117" s="14"/>
      <c r="E117" s="14"/>
      <c r="F117" s="14"/>
      <c r="G117" s="14"/>
      <c r="H117" s="14"/>
      <c r="I117" s="15" t="str">
        <f>"Line "&amp;A102&amp;""</f>
        <v>Line 59</v>
      </c>
    </row>
    <row r="118" spans="1:11">
      <c r="A118" s="61"/>
      <c r="C118" s="112" t="s">
        <v>219</v>
      </c>
      <c r="D118" s="14"/>
      <c r="E118" s="14"/>
      <c r="F118" s="14"/>
      <c r="G118" s="14"/>
      <c r="H118" s="14"/>
      <c r="I118" s="15" t="str">
        <f>"Line "&amp;A108&amp;""</f>
        <v>Line 63</v>
      </c>
    </row>
    <row r="119" spans="1:11">
      <c r="A119" s="497"/>
      <c r="C119" s="112" t="s">
        <v>1719</v>
      </c>
      <c r="D119" s="14"/>
      <c r="E119" s="14"/>
      <c r="F119" s="14"/>
      <c r="G119" s="14"/>
      <c r="H119" s="14"/>
      <c r="I119" s="14" t="s">
        <v>33</v>
      </c>
      <c r="K119" s="509">
        <v>3917123</v>
      </c>
    </row>
    <row r="121" spans="1:11" ht="13">
      <c r="A121" s="10" t="s">
        <v>62</v>
      </c>
      <c r="B121" s="11"/>
      <c r="C121" s="11"/>
      <c r="D121" s="11"/>
      <c r="E121" s="11"/>
      <c r="F121" s="11"/>
      <c r="G121" s="11"/>
      <c r="H121" s="9"/>
      <c r="I121" s="9"/>
      <c r="J121" s="9"/>
      <c r="K121" s="9"/>
    </row>
    <row r="123" spans="1:11">
      <c r="B123" s="75" t="s">
        <v>263</v>
      </c>
    </row>
    <row r="124" spans="1:11" ht="13">
      <c r="A124" s="109">
        <f>A112+1</f>
        <v>66</v>
      </c>
      <c r="B124" t="s">
        <v>101</v>
      </c>
      <c r="H124" s="16"/>
      <c r="I124" s="14" t="str">
        <f>"19-OandM, Line "&amp;'19-OandM'!A124&amp;", Col. 6"</f>
        <v>19-OandM, Line 91, Col. 6</v>
      </c>
      <c r="K124" s="63">
        <f>'19-OandM'!G124</f>
        <v>112781173.69267865</v>
      </c>
    </row>
    <row r="125" spans="1:11" ht="13">
      <c r="A125" s="109">
        <f t="shared" ref="A125:A140" si="1">A124+1</f>
        <v>67</v>
      </c>
      <c r="B125" s="12" t="s">
        <v>264</v>
      </c>
      <c r="H125" s="16"/>
      <c r="I125" s="14" t="str">
        <f>"20-AandG, Line "&amp;'20-AandG'!A30&amp;""</f>
        <v>20-AandG, Line 23</v>
      </c>
      <c r="K125" s="63">
        <f>'20-AandG'!F30</f>
        <v>83053913.127738789</v>
      </c>
    </row>
    <row r="126" spans="1:11" ht="13">
      <c r="A126" s="109">
        <f t="shared" si="1"/>
        <v>68</v>
      </c>
      <c r="B126" t="s">
        <v>56</v>
      </c>
      <c r="H126" s="16"/>
      <c r="I126" s="15" t="str">
        <f>"22-NUCs, Line "&amp;'22-NUCs'!A17&amp;""</f>
        <v>22-NUCs, Line 8</v>
      </c>
      <c r="K126" s="63">
        <f>'22-NUCs'!E17</f>
        <v>4075483.5901751588</v>
      </c>
    </row>
    <row r="127" spans="1:11" ht="13">
      <c r="A127" s="109">
        <f t="shared" si="1"/>
        <v>69</v>
      </c>
      <c r="B127" s="12" t="s">
        <v>250</v>
      </c>
      <c r="H127" s="16"/>
      <c r="I127" s="14" t="str">
        <f>"17-Depreciation, Line "&amp;'17-Depreciation'!A94&amp;""</f>
        <v>17-Depreciation, Line 70</v>
      </c>
      <c r="K127" s="63">
        <f>'17-Depreciation'!F94</f>
        <v>255157633.3971031</v>
      </c>
    </row>
    <row r="128" spans="1:11" ht="13">
      <c r="A128" s="109">
        <f t="shared" si="1"/>
        <v>70</v>
      </c>
      <c r="B128" s="12" t="s">
        <v>292</v>
      </c>
      <c r="H128" s="16"/>
      <c r="I128" s="14" t="str">
        <f>"12-AbandonedPlant, Line "&amp;'12-AbandonedPlant'!A18&amp;""</f>
        <v>12-AbandonedPlant, Line 1</v>
      </c>
      <c r="K128" s="63">
        <f>'12-AbandonedPlant'!G18</f>
        <v>0</v>
      </c>
    </row>
    <row r="129" spans="1:11" ht="13">
      <c r="A129" s="109">
        <f t="shared" si="1"/>
        <v>71</v>
      </c>
      <c r="B129" s="12" t="s">
        <v>79</v>
      </c>
      <c r="H129" s="16"/>
      <c r="I129" s="14" t="str">
        <f>"Line "&amp;A58&amp;""</f>
        <v>Line 36</v>
      </c>
      <c r="K129" s="63">
        <f>K58</f>
        <v>66058181.16746673</v>
      </c>
    </row>
    <row r="130" spans="1:11" ht="13">
      <c r="A130" s="109">
        <f t="shared" si="1"/>
        <v>72</v>
      </c>
      <c r="B130" t="s">
        <v>11</v>
      </c>
      <c r="H130" s="46" t="s">
        <v>151</v>
      </c>
      <c r="I130" s="14" t="str">
        <f>"21-Revenue Credits, Line "&amp;'21-RevenueCredits'!A235&amp;""</f>
        <v>21-Revenue Credits, Line 44</v>
      </c>
      <c r="K130" s="63">
        <f>-'21-RevenueCredits'!E235</f>
        <v>-54094032.244774804</v>
      </c>
    </row>
    <row r="131" spans="1:11" ht="13">
      <c r="A131" s="109">
        <f t="shared" si="1"/>
        <v>73</v>
      </c>
      <c r="B131" t="s">
        <v>87</v>
      </c>
      <c r="H131" s="16"/>
      <c r="I131" s="14" t="str">
        <f>"Line "&amp;A95&amp;""</f>
        <v>Line 56</v>
      </c>
      <c r="K131" s="63">
        <f>K95</f>
        <v>490340238.09968954</v>
      </c>
    </row>
    <row r="132" spans="1:11" ht="13">
      <c r="A132" s="109">
        <f t="shared" si="1"/>
        <v>74</v>
      </c>
      <c r="B132" t="s">
        <v>5</v>
      </c>
      <c r="H132" s="16"/>
      <c r="I132" s="14" t="str">
        <f>"Line "&amp;A110&amp;""</f>
        <v>Line 64</v>
      </c>
      <c r="K132" s="47">
        <f>K110</f>
        <v>100042843.33737013</v>
      </c>
    </row>
    <row r="133" spans="1:11" ht="13">
      <c r="A133" s="109">
        <f t="shared" si="1"/>
        <v>75</v>
      </c>
      <c r="B133" t="s">
        <v>951</v>
      </c>
      <c r="H133" s="13" t="s">
        <v>1152</v>
      </c>
      <c r="I133" s="15" t="str">
        <f>"11-PHFU, Line "&amp;'11-PHFU'!A46&amp;""</f>
        <v>11-PHFU, Line 10</v>
      </c>
      <c r="K133" s="47">
        <f>-'11-PHFU'!E46</f>
        <v>0</v>
      </c>
    </row>
    <row r="134" spans="1:11" ht="13">
      <c r="A134" s="109">
        <f t="shared" si="1"/>
        <v>76</v>
      </c>
      <c r="B134" s="588" t="s">
        <v>1708</v>
      </c>
      <c r="C134" s="700"/>
      <c r="D134" s="14"/>
      <c r="E134" s="14"/>
      <c r="H134" s="16"/>
      <c r="I134" s="15" t="str">
        <f>"23-RegAssets, Line "&amp;'23-RegAssets'!A19&amp;""</f>
        <v>23-RegAssets, Line 16</v>
      </c>
      <c r="K134" s="47">
        <f>'23-RegAssets'!E19</f>
        <v>0</v>
      </c>
    </row>
    <row r="135" spans="1:11" ht="13">
      <c r="A135" s="109">
        <f t="shared" si="1"/>
        <v>77</v>
      </c>
      <c r="B135" s="12" t="s">
        <v>265</v>
      </c>
      <c r="H135" s="16"/>
      <c r="I135" s="14" t="str">
        <f>"15-IncentiveAdder, Line "&amp;'15-IncentiveAdder'!A44&amp;""</f>
        <v>15-IncentiveAdder, Line 14</v>
      </c>
      <c r="K135" s="490">
        <f>'15-IncentiveAdder'!G44</f>
        <v>24921524.532935672</v>
      </c>
    </row>
    <row r="136" spans="1:11" s="476" customFormat="1" ht="13">
      <c r="A136" s="109" t="s">
        <v>2575</v>
      </c>
      <c r="B136" s="478" t="s">
        <v>2576</v>
      </c>
      <c r="C136" s="478"/>
      <c r="D136" s="478"/>
      <c r="E136" s="478"/>
      <c r="F136" s="478"/>
      <c r="G136" s="478"/>
      <c r="H136" s="929" t="s">
        <v>1174</v>
      </c>
      <c r="I136" s="478" t="s">
        <v>2577</v>
      </c>
      <c r="K136" s="490">
        <f>-K135</f>
        <v>-24921524.532935672</v>
      </c>
    </row>
    <row r="137" spans="1:11" ht="13">
      <c r="A137" s="109">
        <f>A135+1</f>
        <v>78</v>
      </c>
      <c r="B137" s="12" t="s">
        <v>1435</v>
      </c>
      <c r="H137" s="16"/>
      <c r="I137" s="14" t="str">
        <f>"Sum of Lines "&amp;A124&amp;" to "&amp;A135&amp;""</f>
        <v>Sum of Lines 66 to 77</v>
      </c>
      <c r="K137" s="63">
        <f>SUM(K124:K136)</f>
        <v>1057415434.1674473</v>
      </c>
    </row>
    <row r="138" spans="1:11" ht="13">
      <c r="A138" s="1244"/>
      <c r="B138" s="12"/>
      <c r="H138" s="16"/>
      <c r="I138" s="14"/>
      <c r="K138" s="63"/>
    </row>
    <row r="139" spans="1:11" ht="13">
      <c r="A139" s="109">
        <f>A137+1</f>
        <v>79</v>
      </c>
      <c r="B139" s="12" t="s">
        <v>287</v>
      </c>
      <c r="I139" s="14" t="str">
        <f>"L "&amp;A137&amp;" * FF Factor (28-FFU, L "&amp;'28-FFU'!A22&amp;")"</f>
        <v>L 78 * FF Factor (28-FFU, L 5)</v>
      </c>
      <c r="J139" s="14"/>
      <c r="K139" s="63">
        <f>'28-FFU'!D22*K137</f>
        <v>9779060.2743547279</v>
      </c>
    </row>
    <row r="140" spans="1:11" ht="13">
      <c r="A140" s="109">
        <f t="shared" si="1"/>
        <v>80</v>
      </c>
      <c r="B140" s="12" t="s">
        <v>286</v>
      </c>
      <c r="I140" s="14" t="str">
        <f>"L "&amp;A137&amp;" * U Factor (28-FFU, L "&amp;'28-FFU'!A22&amp;")"</f>
        <v>L 78 * U Factor (28-FFU, L 5)</v>
      </c>
      <c r="J140" s="14"/>
      <c r="K140" s="63">
        <f>'28-FFU'!E22*K137</f>
        <v>2256532.557363655</v>
      </c>
    </row>
    <row r="141" spans="1:11" ht="13">
      <c r="A141" s="109"/>
      <c r="B141" s="12"/>
      <c r="K141" s="63"/>
    </row>
    <row r="142" spans="1:11" ht="13">
      <c r="A142" s="109">
        <f>A140+1</f>
        <v>81</v>
      </c>
      <c r="B142" s="12" t="s">
        <v>95</v>
      </c>
      <c r="I142" t="str">
        <f>"Line "&amp;A137&amp;" + Line "&amp;A139&amp;"+ Line "&amp;A140&amp;""</f>
        <v>Line 78 + Line 79+ Line 80</v>
      </c>
      <c r="K142" s="63">
        <f>K137+K139+K140</f>
        <v>1069451026.9991657</v>
      </c>
    </row>
    <row r="144" spans="1:11" ht="13">
      <c r="A144" s="10" t="s">
        <v>266</v>
      </c>
      <c r="B144" s="11"/>
      <c r="C144" s="11"/>
      <c r="D144" s="11"/>
      <c r="E144" s="11"/>
      <c r="F144" s="11"/>
      <c r="G144" s="11"/>
      <c r="H144" s="9"/>
      <c r="I144" s="9"/>
      <c r="J144" s="9"/>
      <c r="K144" s="9"/>
    </row>
    <row r="146" spans="1:11">
      <c r="B146" s="75" t="s">
        <v>1631</v>
      </c>
    </row>
    <row r="147" spans="1:11" ht="13">
      <c r="A147" s="109">
        <f>A142+1</f>
        <v>82</v>
      </c>
      <c r="B147" t="s">
        <v>95</v>
      </c>
      <c r="I147" t="str">
        <f>"Line "&amp;A142&amp;""</f>
        <v>Line 81</v>
      </c>
      <c r="K147" s="63">
        <f>K142</f>
        <v>1069451026.9991657</v>
      </c>
    </row>
    <row r="148" spans="1:11" ht="13">
      <c r="A148" s="109">
        <f>A147+1</f>
        <v>83</v>
      </c>
      <c r="B148" t="s">
        <v>319</v>
      </c>
      <c r="I148" s="15" t="str">
        <f>"2-IFPTRR, Line "&amp;'2-IFPTRR'!A91&amp;""</f>
        <v>2-IFPTRR, Line 82</v>
      </c>
      <c r="K148" s="63">
        <f>'2-IFPTRR'!D91</f>
        <v>101099692.03110665</v>
      </c>
    </row>
    <row r="149" spans="1:11" ht="13">
      <c r="A149" s="109">
        <f>A148+1</f>
        <v>84</v>
      </c>
      <c r="B149" s="12" t="s">
        <v>29</v>
      </c>
      <c r="H149" s="12"/>
      <c r="I149" s="15" t="str">
        <f>"3-TrueUpAdjust, Line "&amp;'3-TrueUpAdjust'!A44&amp;""</f>
        <v>3-TrueUpAdjust, Line 30</v>
      </c>
      <c r="K149" s="47">
        <f>'3-TrueUpAdjust'!E44</f>
        <v>-74152916.40923591</v>
      </c>
    </row>
    <row r="150" spans="1:11" ht="13">
      <c r="A150" s="109">
        <f>A149+1</f>
        <v>85</v>
      </c>
      <c r="B150" s="478" t="s">
        <v>1879</v>
      </c>
      <c r="C150" s="14"/>
      <c r="H150" s="476" t="s">
        <v>1172</v>
      </c>
      <c r="I150" s="14"/>
      <c r="K150" s="118">
        <v>0</v>
      </c>
    </row>
    <row r="151" spans="1:11" ht="13">
      <c r="A151" s="109"/>
      <c r="I151" s="14"/>
      <c r="K151" s="7"/>
    </row>
    <row r="152" spans="1:11" ht="13">
      <c r="A152" s="109">
        <f>A150+1</f>
        <v>86</v>
      </c>
      <c r="B152" s="476" t="s">
        <v>1629</v>
      </c>
      <c r="H152" s="12" t="s">
        <v>267</v>
      </c>
      <c r="I152" s="14" t="str">
        <f>"L "&amp;A147&amp;" + L "&amp;A148&amp;" + L "&amp;A149&amp;" + L "&amp;A150&amp;""</f>
        <v>L 82 + L 83 + L 84 + L 85</v>
      </c>
      <c r="K152" s="63">
        <f>K147+K148+K149+K150</f>
        <v>1096397802.6210363</v>
      </c>
    </row>
    <row r="153" spans="1:11" ht="13">
      <c r="A153" s="109"/>
      <c r="I153" s="14"/>
      <c r="K153" s="63"/>
    </row>
    <row r="154" spans="1:11" ht="13">
      <c r="A154" s="109"/>
      <c r="B154" s="75" t="s">
        <v>1630</v>
      </c>
      <c r="I154" s="14"/>
      <c r="K154" s="63"/>
    </row>
    <row r="155" spans="1:11" ht="13">
      <c r="A155" s="109">
        <f>A152+1</f>
        <v>87</v>
      </c>
      <c r="B155" t="s">
        <v>1366</v>
      </c>
      <c r="I155" s="14" t="str">
        <f>"Line "&amp;A152&amp;""</f>
        <v>Line 86</v>
      </c>
      <c r="K155" s="63">
        <f>K152</f>
        <v>1096397802.6210363</v>
      </c>
    </row>
    <row r="156" spans="1:11" ht="13">
      <c r="A156" s="109">
        <f>A155+1</f>
        <v>88</v>
      </c>
      <c r="B156" t="s">
        <v>1365</v>
      </c>
      <c r="I156" s="15" t="str">
        <f>"25-WholesaleDifference, Line "&amp;'25-WholesaleDifference'!A93&amp;""</f>
        <v>25-WholesaleDifference, Line 45</v>
      </c>
      <c r="K156" s="110">
        <f>'25-WholesaleDifference'!H93</f>
        <v>-4712304.4169460041</v>
      </c>
    </row>
    <row r="157" spans="1:11" ht="13">
      <c r="A157" s="109">
        <f>A156+1</f>
        <v>89</v>
      </c>
      <c r="B157" t="s">
        <v>1630</v>
      </c>
      <c r="I157" t="str">
        <f>"Line "&amp;A155&amp;" + Line "&amp;A156&amp;""</f>
        <v>Line 87 + Line 88</v>
      </c>
      <c r="K157" s="63">
        <f>K155+K156</f>
        <v>1091685498.2040904</v>
      </c>
    </row>
    <row r="158" spans="1:11">
      <c r="A158" s="14"/>
      <c r="H158" s="12"/>
    </row>
    <row r="160" spans="1:11" ht="13">
      <c r="B160" s="51" t="s">
        <v>230</v>
      </c>
    </row>
    <row r="161" spans="2:11" s="1048" customFormat="1">
      <c r="B161" s="476" t="s">
        <v>2279</v>
      </c>
    </row>
    <row r="162" spans="2:11" s="1048" customFormat="1">
      <c r="B162" s="480" t="s">
        <v>2280</v>
      </c>
    </row>
    <row r="163" spans="2:11" s="476" customFormat="1">
      <c r="B163" s="478" t="s">
        <v>2619</v>
      </c>
      <c r="C163" s="966"/>
      <c r="D163" s="966"/>
      <c r="E163" s="966"/>
      <c r="F163" s="478"/>
      <c r="G163" s="478"/>
      <c r="H163" s="478"/>
      <c r="I163" s="478"/>
      <c r="J163" s="478"/>
      <c r="K163" s="478"/>
    </row>
    <row r="164" spans="2:11" s="476" customFormat="1">
      <c r="B164" s="480" t="s">
        <v>2588</v>
      </c>
      <c r="C164" s="1288"/>
      <c r="D164" s="1288"/>
      <c r="E164" s="1288"/>
    </row>
    <row r="165" spans="2:11" s="476" customFormat="1">
      <c r="B165" s="480" t="s">
        <v>2589</v>
      </c>
      <c r="C165" s="966"/>
      <c r="D165" s="966"/>
      <c r="E165" s="966"/>
      <c r="F165" s="478"/>
      <c r="G165" s="478"/>
      <c r="H165" s="478"/>
      <c r="I165" s="478"/>
      <c r="J165" s="478"/>
      <c r="K165" s="478"/>
    </row>
    <row r="166" spans="2:11" s="476" customFormat="1">
      <c r="B166" s="480" t="s">
        <v>2590</v>
      </c>
      <c r="C166" s="966"/>
      <c r="D166" s="966"/>
      <c r="E166" s="966"/>
      <c r="F166" s="593"/>
      <c r="G166" s="478"/>
      <c r="H166" s="478"/>
      <c r="I166" s="478"/>
      <c r="J166" s="478"/>
      <c r="K166" s="478"/>
    </row>
    <row r="167" spans="2:11" s="476" customFormat="1">
      <c r="B167" s="480" t="s">
        <v>2591</v>
      </c>
      <c r="C167" s="478"/>
      <c r="D167" s="478"/>
      <c r="E167" s="478"/>
      <c r="F167" s="478"/>
      <c r="G167" s="478"/>
      <c r="H167" s="478"/>
      <c r="I167" s="478"/>
      <c r="J167" s="478"/>
      <c r="K167" s="478"/>
    </row>
    <row r="168" spans="2:11">
      <c r="B168" s="476" t="s">
        <v>2578</v>
      </c>
      <c r="C168" s="14"/>
      <c r="D168" s="14"/>
      <c r="E168" s="14"/>
      <c r="F168" s="14"/>
      <c r="G168" s="14"/>
      <c r="H168" s="14"/>
      <c r="I168" s="14"/>
      <c r="J168" s="1048"/>
      <c r="K168" s="1048"/>
    </row>
    <row r="169" spans="2:11">
      <c r="B169" s="16" t="s">
        <v>2425</v>
      </c>
      <c r="C169" s="1048"/>
      <c r="D169" s="1048"/>
      <c r="E169" s="1048"/>
      <c r="F169" s="1048"/>
      <c r="G169" s="1048"/>
      <c r="H169" s="1048"/>
      <c r="I169" s="1048"/>
      <c r="J169" s="1048"/>
      <c r="K169" s="1048"/>
    </row>
    <row r="170" spans="2:11" s="476" customFormat="1">
      <c r="B170" s="480" t="s">
        <v>2620</v>
      </c>
    </row>
    <row r="171" spans="2:11" s="476" customFormat="1">
      <c r="B171" s="480" t="s">
        <v>2592</v>
      </c>
    </row>
    <row r="172" spans="2:11" s="476" customFormat="1">
      <c r="B172" s="1289" t="s">
        <v>2593</v>
      </c>
    </row>
    <row r="173" spans="2:11">
      <c r="B173" s="478" t="s">
        <v>2281</v>
      </c>
      <c r="C173" s="1048"/>
      <c r="D173" s="1048"/>
      <c r="E173" s="1048"/>
      <c r="F173" s="1048"/>
      <c r="G173" s="1048"/>
      <c r="H173" s="1048"/>
      <c r="I173" s="14"/>
      <c r="J173" s="1048"/>
      <c r="K173" s="1048"/>
    </row>
    <row r="174" spans="2:11" s="476" customFormat="1">
      <c r="B174" s="478" t="s">
        <v>2579</v>
      </c>
      <c r="C174" s="478"/>
      <c r="D174" s="478"/>
      <c r="E174" s="478"/>
      <c r="F174" s="478"/>
      <c r="G174" s="478"/>
      <c r="H174" s="478"/>
      <c r="I174" s="478"/>
    </row>
    <row r="175" spans="2:11" s="476" customFormat="1">
      <c r="B175" s="478" t="s">
        <v>2580</v>
      </c>
      <c r="C175" s="478"/>
      <c r="D175" s="478"/>
      <c r="E175" s="478"/>
      <c r="F175" s="478"/>
      <c r="G175" s="478"/>
      <c r="H175" s="478"/>
      <c r="I175" s="478"/>
    </row>
  </sheetData>
  <phoneticPr fontId="23" type="noConversion"/>
  <pageMargins left="0.75" right="0.75" top="1" bottom="1" header="0.5" footer="0.5"/>
  <pageSetup scale="65" orientation="portrait" cellComments="asDisplayed" r:id="rId1"/>
  <headerFooter alignWithMargins="0">
    <oddHeader>&amp;CSchedule 1
Base TRR
&amp;RTO2021 Annual Update
Attachment 5
TO2018 True Up TRR</oddHeader>
    <oddFooter>&amp;R&amp;A</oddFooter>
  </headerFooter>
  <rowBreaks count="2" manualBreakCount="2">
    <brk id="59" max="16383" man="1"/>
    <brk id="12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56"/>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20" ht="13">
      <c r="A1" s="699" t="s">
        <v>2721</v>
      </c>
      <c r="B1" s="699"/>
      <c r="C1" s="700"/>
      <c r="D1" s="700"/>
      <c r="G1" s="700"/>
      <c r="H1" s="700"/>
      <c r="I1" s="700"/>
      <c r="J1" s="700"/>
      <c r="K1" s="700"/>
      <c r="L1" s="700"/>
      <c r="M1" s="700"/>
      <c r="N1" s="14"/>
      <c r="O1" s="14"/>
      <c r="P1" s="14"/>
      <c r="Q1" s="14"/>
      <c r="R1" s="14"/>
      <c r="S1" s="14"/>
      <c r="T1" s="14"/>
    </row>
    <row r="2" spans="1:20">
      <c r="A2" s="14"/>
      <c r="B2" s="14"/>
      <c r="C2" s="478"/>
      <c r="D2" s="14"/>
      <c r="E2" s="14"/>
      <c r="F2" s="14"/>
      <c r="G2" s="14"/>
      <c r="H2" s="14"/>
      <c r="I2" s="14"/>
      <c r="J2" s="14"/>
      <c r="K2" s="14"/>
      <c r="L2" s="14"/>
      <c r="M2" s="14"/>
      <c r="N2" s="14"/>
      <c r="O2" s="14"/>
      <c r="P2" s="14"/>
      <c r="Q2" s="14"/>
      <c r="R2" s="14"/>
      <c r="S2" s="14"/>
      <c r="T2" s="14"/>
    </row>
    <row r="3" spans="1:20" ht="13">
      <c r="A3" s="701" t="s">
        <v>330</v>
      </c>
      <c r="B3" s="701"/>
      <c r="C3" s="700"/>
      <c r="D3" s="700"/>
      <c r="E3" s="700"/>
      <c r="F3" s="700"/>
      <c r="G3" s="700"/>
      <c r="H3" s="700"/>
      <c r="I3" s="700"/>
      <c r="J3" s="700"/>
      <c r="K3" s="700"/>
      <c r="L3" s="700"/>
      <c r="M3" s="700"/>
      <c r="N3" s="14"/>
      <c r="O3" s="14"/>
      <c r="P3" s="14"/>
      <c r="Q3" s="14"/>
      <c r="R3" s="14"/>
      <c r="S3" s="14"/>
      <c r="T3" s="14"/>
    </row>
    <row r="4" spans="1:20" ht="13">
      <c r="A4" s="702">
        <v>1</v>
      </c>
      <c r="B4" s="702"/>
      <c r="C4" s="588"/>
      <c r="D4" s="588"/>
      <c r="E4" s="588"/>
      <c r="F4" s="588"/>
      <c r="G4" s="700"/>
      <c r="H4" s="700"/>
      <c r="I4" s="700"/>
      <c r="J4" s="700"/>
      <c r="K4" s="700"/>
      <c r="L4" s="700"/>
      <c r="M4" s="700"/>
      <c r="N4" s="14"/>
      <c r="O4" s="14"/>
      <c r="P4" s="14"/>
      <c r="Q4" s="14"/>
      <c r="R4" s="14"/>
      <c r="S4" s="14"/>
      <c r="T4" s="14"/>
    </row>
    <row r="5" spans="1:20" ht="13">
      <c r="A5" s="579">
        <v>2</v>
      </c>
      <c r="B5" s="579"/>
      <c r="C5" s="588"/>
      <c r="D5" s="588"/>
      <c r="E5" s="588"/>
      <c r="F5" s="588"/>
      <c r="G5" s="700"/>
      <c r="H5" s="700"/>
      <c r="I5" s="700"/>
      <c r="J5" s="700"/>
      <c r="K5" s="700"/>
      <c r="L5" s="700"/>
      <c r="M5" s="700"/>
      <c r="N5" s="14"/>
      <c r="O5" s="14"/>
    </row>
    <row r="6" spans="1:20" ht="13">
      <c r="A6" s="579">
        <v>3</v>
      </c>
      <c r="B6" s="579"/>
      <c r="C6" s="580"/>
      <c r="D6" s="580"/>
      <c r="E6" s="580"/>
      <c r="F6" s="580"/>
      <c r="G6" s="577"/>
      <c r="H6" s="577"/>
      <c r="I6" s="577"/>
      <c r="J6" s="577"/>
      <c r="K6" s="579" t="s">
        <v>63</v>
      </c>
      <c r="L6" s="577"/>
      <c r="M6" s="577"/>
    </row>
    <row r="7" spans="1:20" ht="13">
      <c r="A7" s="579">
        <v>4</v>
      </c>
      <c r="B7" s="579"/>
      <c r="C7" s="577"/>
      <c r="D7" s="577"/>
      <c r="E7" s="703" t="s">
        <v>205</v>
      </c>
      <c r="F7" s="704"/>
      <c r="G7" s="577"/>
      <c r="H7" s="577"/>
      <c r="I7" s="577"/>
      <c r="J7" s="577"/>
      <c r="K7" s="705" t="s">
        <v>175</v>
      </c>
      <c r="L7" s="577"/>
      <c r="M7" s="582"/>
    </row>
    <row r="8" spans="1:20" ht="13">
      <c r="A8" s="579">
        <v>5</v>
      </c>
      <c r="B8" s="579"/>
      <c r="C8" s="580"/>
      <c r="D8" s="580"/>
      <c r="E8" s="580"/>
      <c r="F8" s="580"/>
      <c r="G8" s="577"/>
      <c r="H8" s="577"/>
      <c r="I8" s="577"/>
      <c r="J8" s="577"/>
      <c r="K8" s="583"/>
      <c r="L8" s="577"/>
      <c r="M8" s="580"/>
    </row>
    <row r="9" spans="1:20" ht="13">
      <c r="A9" s="579">
        <v>6</v>
      </c>
      <c r="B9" s="579"/>
      <c r="C9" s="699" t="s">
        <v>1984</v>
      </c>
      <c r="D9" s="588"/>
      <c r="E9" s="588" t="s">
        <v>1985</v>
      </c>
      <c r="F9" s="588"/>
      <c r="G9" s="700"/>
      <c r="H9" s="700"/>
      <c r="I9" s="700"/>
      <c r="J9" s="700"/>
      <c r="K9" s="583">
        <f>I20</f>
        <v>-198887800.82526767</v>
      </c>
      <c r="L9" s="577"/>
      <c r="M9" s="580"/>
      <c r="N9" s="706"/>
    </row>
    <row r="10" spans="1:20" ht="13.5" thickBot="1">
      <c r="A10" s="579">
        <v>7</v>
      </c>
      <c r="B10" s="579"/>
      <c r="C10" s="699" t="s">
        <v>1983</v>
      </c>
      <c r="D10" s="701"/>
      <c r="E10" s="588" t="s">
        <v>1964</v>
      </c>
      <c r="F10" s="588"/>
      <c r="G10" s="700"/>
      <c r="H10" s="700"/>
      <c r="I10" s="700"/>
      <c r="J10" s="700"/>
      <c r="K10" s="707">
        <f>+K20</f>
        <v>-192838264.25105909</v>
      </c>
      <c r="L10" s="577"/>
      <c r="M10" s="580"/>
    </row>
    <row r="11" spans="1:20" ht="13.5" thickTop="1">
      <c r="A11" s="579">
        <v>8</v>
      </c>
      <c r="B11" s="579"/>
      <c r="C11" s="588"/>
      <c r="D11" s="588"/>
      <c r="E11" s="588"/>
      <c r="F11" s="588"/>
      <c r="G11" s="700"/>
      <c r="H11" s="700"/>
      <c r="I11" s="700"/>
      <c r="J11" s="700"/>
      <c r="K11" s="583"/>
      <c r="L11" s="577"/>
      <c r="M11" s="577"/>
    </row>
    <row r="12" spans="1:20" ht="13">
      <c r="A12" s="579">
        <v>9</v>
      </c>
      <c r="B12" s="579"/>
      <c r="C12" s="700"/>
      <c r="D12" s="700"/>
      <c r="E12" s="700"/>
      <c r="F12" s="700"/>
      <c r="G12" s="708" t="s">
        <v>359</v>
      </c>
      <c r="H12" s="708"/>
      <c r="I12" s="708" t="s">
        <v>343</v>
      </c>
      <c r="J12" s="708"/>
      <c r="K12" s="708" t="s">
        <v>344</v>
      </c>
      <c r="L12" s="577"/>
      <c r="M12" s="577"/>
    </row>
    <row r="13" spans="1:20" ht="13">
      <c r="A13" s="579">
        <v>10</v>
      </c>
      <c r="B13" s="579"/>
      <c r="C13" s="700"/>
      <c r="D13" s="700"/>
      <c r="E13" s="700"/>
      <c r="F13" s="700"/>
      <c r="G13" s="702" t="s">
        <v>63</v>
      </c>
      <c r="H13" s="702"/>
      <c r="I13" s="702" t="s">
        <v>63</v>
      </c>
      <c r="J13" s="704"/>
      <c r="K13" s="702" t="s">
        <v>63</v>
      </c>
      <c r="L13" s="577"/>
      <c r="M13" s="577"/>
    </row>
    <row r="14" spans="1:20" ht="14.5">
      <c r="A14" s="579">
        <v>11</v>
      </c>
      <c r="B14" s="579"/>
      <c r="C14" s="702"/>
      <c r="D14" s="702"/>
      <c r="E14" s="702"/>
      <c r="F14" s="702"/>
      <c r="G14" s="702" t="s">
        <v>381</v>
      </c>
      <c r="H14" s="702"/>
      <c r="I14" s="702" t="s">
        <v>300</v>
      </c>
      <c r="J14" s="704"/>
      <c r="K14" s="709" t="s">
        <v>229</v>
      </c>
      <c r="L14" s="577"/>
      <c r="M14" s="577"/>
    </row>
    <row r="15" spans="1:20" ht="13">
      <c r="A15" s="579">
        <v>12</v>
      </c>
      <c r="B15" s="579"/>
      <c r="C15" s="579" t="s">
        <v>411</v>
      </c>
      <c r="D15" s="579"/>
      <c r="E15" s="579"/>
      <c r="F15" s="579"/>
      <c r="G15" s="579" t="s">
        <v>1965</v>
      </c>
      <c r="H15" s="704"/>
      <c r="I15" s="579" t="s">
        <v>1965</v>
      </c>
      <c r="J15" s="704"/>
      <c r="K15" s="579" t="s">
        <v>1965</v>
      </c>
      <c r="L15" s="577"/>
      <c r="M15" s="577"/>
    </row>
    <row r="16" spans="1:20" ht="13">
      <c r="A16" s="579">
        <v>13</v>
      </c>
      <c r="B16" s="579"/>
      <c r="C16" s="581" t="s">
        <v>1963</v>
      </c>
      <c r="D16" s="581"/>
      <c r="E16" s="581"/>
      <c r="F16" s="581"/>
      <c r="G16" s="705" t="s">
        <v>1966</v>
      </c>
      <c r="H16" s="704"/>
      <c r="I16" s="705" t="s">
        <v>1966</v>
      </c>
      <c r="J16" s="704"/>
      <c r="K16" s="705" t="s">
        <v>1966</v>
      </c>
      <c r="L16" s="577"/>
      <c r="M16" s="577"/>
    </row>
    <row r="17" spans="1:14" ht="13">
      <c r="A17" s="579">
        <v>14</v>
      </c>
      <c r="B17" s="579"/>
      <c r="C17" s="588" t="s">
        <v>1967</v>
      </c>
      <c r="D17" s="588"/>
      <c r="E17" s="478" t="s">
        <v>2184</v>
      </c>
      <c r="F17" s="476"/>
      <c r="G17" s="583">
        <f>+G27</f>
        <v>-182100338.83756387</v>
      </c>
      <c r="H17" s="710"/>
      <c r="I17" s="583">
        <f>+I27</f>
        <v>-194218701.47590962</v>
      </c>
      <c r="J17" s="710"/>
      <c r="K17" s="583">
        <f>(+G17+I17)/2</f>
        <v>-188159520.15673673</v>
      </c>
      <c r="L17" s="577"/>
      <c r="M17" s="577"/>
      <c r="N17" s="577"/>
    </row>
    <row r="18" spans="1:14" ht="13">
      <c r="A18" s="579">
        <v>15</v>
      </c>
      <c r="B18" s="579"/>
      <c r="C18" s="588" t="s">
        <v>1968</v>
      </c>
      <c r="D18" s="588"/>
      <c r="E18" s="588" t="s">
        <v>2185</v>
      </c>
      <c r="F18" s="588"/>
      <c r="G18" s="583">
        <f>+G32</f>
        <v>-4076322.2301626741</v>
      </c>
      <c r="H18" s="710"/>
      <c r="I18" s="583">
        <f>+I32</f>
        <v>-4054664.6736122891</v>
      </c>
      <c r="J18" s="710"/>
      <c r="K18" s="583">
        <f>(+G18+I18)/2</f>
        <v>-4065493.4518874818</v>
      </c>
      <c r="L18" s="577"/>
      <c r="M18" s="577"/>
      <c r="N18" s="577"/>
    </row>
    <row r="19" spans="1:14" ht="13">
      <c r="A19" s="579">
        <v>16</v>
      </c>
      <c r="B19" s="579"/>
      <c r="C19" s="588" t="s">
        <v>1969</v>
      </c>
      <c r="D19" s="588"/>
      <c r="E19" s="588" t="s">
        <v>2186</v>
      </c>
      <c r="F19" s="588"/>
      <c r="G19" s="711">
        <f>+G39</f>
        <v>-612066.60912399122</v>
      </c>
      <c r="H19" s="712"/>
      <c r="I19" s="711">
        <f>+I39</f>
        <v>-614434.67574576102</v>
      </c>
      <c r="J19" s="712"/>
      <c r="K19" s="583">
        <f>(+G19+I19)/2</f>
        <v>-613250.64243487618</v>
      </c>
      <c r="L19" s="577"/>
      <c r="M19" s="577"/>
    </row>
    <row r="20" spans="1:14" ht="13.5" thickBot="1">
      <c r="A20" s="579">
        <v>17</v>
      </c>
      <c r="B20" s="579"/>
      <c r="C20" s="580" t="s">
        <v>197</v>
      </c>
      <c r="D20" s="580"/>
      <c r="E20" s="580" t="s">
        <v>1970</v>
      </c>
      <c r="F20" s="580"/>
      <c r="G20" s="713">
        <f>+G17+G18+G19</f>
        <v>-186788727.67685056</v>
      </c>
      <c r="H20" s="710"/>
      <c r="I20" s="713">
        <f>+I17+I18+I19</f>
        <v>-198887800.82526767</v>
      </c>
      <c r="J20" s="710"/>
      <c r="K20" s="713">
        <f>+K17+K18+K19</f>
        <v>-192838264.25105909</v>
      </c>
      <c r="L20" s="577"/>
      <c r="M20" s="580"/>
      <c r="N20" s="476" t="s">
        <v>329</v>
      </c>
    </row>
    <row r="21" spans="1:14" ht="13.5" thickTop="1">
      <c r="A21" s="579">
        <v>18</v>
      </c>
      <c r="B21" s="579"/>
      <c r="C21" s="577"/>
      <c r="D21" s="577"/>
      <c r="E21" s="577"/>
      <c r="F21" s="577"/>
      <c r="G21" s="577"/>
      <c r="H21" s="714"/>
      <c r="I21" s="577"/>
      <c r="J21" s="714"/>
      <c r="K21" s="577"/>
      <c r="L21" s="577"/>
      <c r="M21" s="577"/>
    </row>
    <row r="22" spans="1:14" ht="13">
      <c r="A22" s="579">
        <v>19</v>
      </c>
      <c r="B22" s="579"/>
      <c r="C22" s="578" t="s">
        <v>1971</v>
      </c>
      <c r="D22" s="578"/>
      <c r="E22" s="578"/>
      <c r="F22" s="578"/>
      <c r="G22" s="577"/>
      <c r="H22" s="714"/>
      <c r="I22" s="577"/>
      <c r="J22" s="714"/>
      <c r="K22" s="577"/>
      <c r="L22" s="577"/>
      <c r="M22" s="577"/>
    </row>
    <row r="23" spans="1:14" ht="13">
      <c r="A23" s="579">
        <v>20</v>
      </c>
      <c r="B23" s="579"/>
      <c r="H23" s="532"/>
      <c r="J23" s="532"/>
      <c r="K23" s="477" t="s">
        <v>229</v>
      </c>
    </row>
    <row r="24" spans="1:14" ht="13">
      <c r="A24" s="579">
        <v>21</v>
      </c>
      <c r="B24" s="579"/>
      <c r="C24" s="578" t="s">
        <v>107</v>
      </c>
      <c r="D24" s="578"/>
      <c r="E24" s="578"/>
      <c r="F24" s="578"/>
      <c r="G24" s="392" t="s">
        <v>381</v>
      </c>
      <c r="H24" s="715"/>
      <c r="I24" s="392" t="s">
        <v>300</v>
      </c>
      <c r="J24" s="715"/>
      <c r="K24" s="716" t="s">
        <v>1972</v>
      </c>
      <c r="M24" s="496" t="s">
        <v>329</v>
      </c>
    </row>
    <row r="25" spans="1:14" ht="13">
      <c r="A25" s="579">
        <v>22</v>
      </c>
      <c r="B25" s="579"/>
      <c r="C25" t="s">
        <v>1973</v>
      </c>
      <c r="E25" s="588" t="s">
        <v>1974</v>
      </c>
      <c r="F25" s="588"/>
      <c r="G25" s="717">
        <v>-2771957878.7399998</v>
      </c>
      <c r="H25" s="718"/>
      <c r="I25" s="717">
        <v>-2956425359.73</v>
      </c>
      <c r="J25" s="719"/>
      <c r="M25" s="706"/>
      <c r="N25" s="614"/>
    </row>
    <row r="26" spans="1:14" ht="13">
      <c r="A26" s="702">
        <v>23</v>
      </c>
      <c r="B26" s="579"/>
      <c r="C26" t="s">
        <v>200</v>
      </c>
      <c r="E26" s="720" t="s">
        <v>1975</v>
      </c>
      <c r="F26" s="720"/>
      <c r="G26" s="721">
        <f>'27-Allocators'!G10</f>
        <v>6.5693761162178274E-2</v>
      </c>
      <c r="H26" s="722"/>
      <c r="I26" s="721">
        <f>'27-Allocators'!G10</f>
        <v>6.5693761162178274E-2</v>
      </c>
      <c r="J26" s="722"/>
      <c r="M26" s="706"/>
    </row>
    <row r="27" spans="1:14" ht="13.5" thickBot="1">
      <c r="A27" s="702">
        <v>24</v>
      </c>
      <c r="B27" s="579"/>
      <c r="C27" t="s">
        <v>1976</v>
      </c>
      <c r="E27" s="593" t="s">
        <v>2187</v>
      </c>
      <c r="F27" s="52"/>
      <c r="G27" s="723">
        <f>+G25*G26</f>
        <v>-182100338.83756387</v>
      </c>
      <c r="H27" s="724"/>
      <c r="I27" s="723">
        <f>+I25*I26</f>
        <v>-194218701.47590962</v>
      </c>
      <c r="J27" s="724"/>
      <c r="K27" s="725">
        <f>(G27+I27)/2</f>
        <v>-188159520.15673673</v>
      </c>
      <c r="M27" s="706"/>
    </row>
    <row r="28" spans="1:14" ht="13.5" thickTop="1">
      <c r="A28" s="702">
        <v>25</v>
      </c>
      <c r="B28" s="579"/>
      <c r="H28" s="532"/>
      <c r="J28" s="532"/>
      <c r="M28" s="706"/>
    </row>
    <row r="29" spans="1:14" ht="13">
      <c r="A29" s="702">
        <v>26</v>
      </c>
      <c r="B29" s="579"/>
      <c r="C29" s="51" t="s">
        <v>1977</v>
      </c>
      <c r="D29" s="51"/>
      <c r="E29" s="51"/>
      <c r="F29" s="51"/>
      <c r="H29" s="532"/>
      <c r="J29" s="532"/>
      <c r="M29" s="726" t="s">
        <v>329</v>
      </c>
    </row>
    <row r="30" spans="1:14" ht="13">
      <c r="A30" s="702">
        <v>27</v>
      </c>
      <c r="B30" s="579"/>
      <c r="C30" s="476" t="s">
        <v>1978</v>
      </c>
      <c r="D30" s="476"/>
      <c r="E30" s="588" t="s">
        <v>1974</v>
      </c>
      <c r="F30" s="588"/>
      <c r="G30" s="717">
        <v>-62050370.659999996</v>
      </c>
      <c r="H30" s="718"/>
      <c r="I30" s="717">
        <v>-61720696.18</v>
      </c>
      <c r="J30" s="719"/>
      <c r="M30" s="706"/>
    </row>
    <row r="31" spans="1:14" ht="13">
      <c r="A31" s="702">
        <v>28</v>
      </c>
      <c r="B31" s="579"/>
      <c r="C31" t="s">
        <v>200</v>
      </c>
      <c r="E31" s="720" t="s">
        <v>1975</v>
      </c>
      <c r="F31" s="720"/>
      <c r="G31" s="721">
        <f>'27-Allocators'!G10</f>
        <v>6.5693761162178274E-2</v>
      </c>
      <c r="H31" s="722"/>
      <c r="I31" s="721">
        <f>'27-Allocators'!G10</f>
        <v>6.5693761162178274E-2</v>
      </c>
      <c r="J31" s="722"/>
      <c r="M31" s="706"/>
    </row>
    <row r="32" spans="1:14" ht="13.5" thickBot="1">
      <c r="A32" s="702">
        <v>29</v>
      </c>
      <c r="B32" s="579"/>
      <c r="C32" t="s">
        <v>1976</v>
      </c>
      <c r="E32" s="593" t="s">
        <v>2188</v>
      </c>
      <c r="F32" s="52"/>
      <c r="G32" s="723">
        <f>+G30*G31</f>
        <v>-4076322.2301626741</v>
      </c>
      <c r="H32" s="724"/>
      <c r="I32" s="723">
        <f>+I30*I31</f>
        <v>-4054664.6736122891</v>
      </c>
      <c r="J32" s="724"/>
      <c r="K32" s="725">
        <f>(G32+I32)/2</f>
        <v>-4065493.4518874818</v>
      </c>
      <c r="M32" s="706"/>
    </row>
    <row r="33" spans="1:11" ht="13.5" thickTop="1">
      <c r="A33" s="702">
        <f t="shared" ref="A33:A39" si="0">1+A32</f>
        <v>30</v>
      </c>
      <c r="H33" s="532"/>
      <c r="J33" s="532"/>
    </row>
    <row r="34" spans="1:11" ht="13">
      <c r="A34" s="702">
        <f t="shared" si="0"/>
        <v>31</v>
      </c>
      <c r="C34" s="51" t="s">
        <v>1979</v>
      </c>
      <c r="H34" s="532"/>
      <c r="J34" s="532"/>
    </row>
    <row r="35" spans="1:11" ht="13">
      <c r="A35" s="702">
        <f t="shared" si="0"/>
        <v>32</v>
      </c>
      <c r="C35" s="476" t="s">
        <v>1979</v>
      </c>
      <c r="E35" s="588" t="s">
        <v>1974</v>
      </c>
      <c r="F35" s="588"/>
      <c r="G35" s="1072">
        <v>-18633934.130000003</v>
      </c>
      <c r="H35" s="718"/>
      <c r="I35" s="1072">
        <v>-18706028.240000002</v>
      </c>
      <c r="J35" s="719"/>
    </row>
    <row r="36" spans="1:11" ht="13">
      <c r="A36" s="702">
        <f t="shared" si="0"/>
        <v>33</v>
      </c>
      <c r="C36" s="476" t="s">
        <v>1980</v>
      </c>
      <c r="E36" s="728" t="s">
        <v>1981</v>
      </c>
      <c r="G36" s="729">
        <v>0.5</v>
      </c>
      <c r="H36" s="532"/>
      <c r="I36" s="729">
        <v>0.5</v>
      </c>
      <c r="J36" s="532"/>
    </row>
    <row r="37" spans="1:11" ht="13">
      <c r="A37" s="702">
        <f t="shared" si="0"/>
        <v>34</v>
      </c>
      <c r="C37" s="476" t="s">
        <v>1982</v>
      </c>
      <c r="E37" s="478" t="s">
        <v>2189</v>
      </c>
      <c r="G37" s="7">
        <f>+G35*G36</f>
        <v>-9316967.0650000013</v>
      </c>
      <c r="H37" s="730"/>
      <c r="I37" s="7">
        <f>+I35*I36</f>
        <v>-9353014.120000001</v>
      </c>
      <c r="J37" s="532"/>
    </row>
    <row r="38" spans="1:11" ht="13">
      <c r="A38" s="702">
        <f t="shared" si="0"/>
        <v>35</v>
      </c>
      <c r="C38" t="s">
        <v>200</v>
      </c>
      <c r="E38" s="720" t="s">
        <v>1975</v>
      </c>
      <c r="F38" s="720"/>
      <c r="G38" s="721">
        <f>'27-Allocators'!G10</f>
        <v>6.5693761162178274E-2</v>
      </c>
      <c r="H38" s="722"/>
      <c r="I38" s="721">
        <f>'27-Allocators'!G10</f>
        <v>6.5693761162178274E-2</v>
      </c>
      <c r="J38" s="722"/>
    </row>
    <row r="39" spans="1:11" ht="13.5" thickBot="1">
      <c r="A39" s="702">
        <f t="shared" si="0"/>
        <v>36</v>
      </c>
      <c r="C39" t="s">
        <v>1976</v>
      </c>
      <c r="E39" s="593" t="s">
        <v>2190</v>
      </c>
      <c r="F39" s="52"/>
      <c r="G39" s="723">
        <f>+G37*G38</f>
        <v>-612066.60912399122</v>
      </c>
      <c r="H39" s="724"/>
      <c r="I39" s="723">
        <f>+I37*I38</f>
        <v>-614434.67574576102</v>
      </c>
      <c r="J39" s="724"/>
      <c r="K39" s="725">
        <f>(G39+I39)/2</f>
        <v>-613250.64243487618</v>
      </c>
    </row>
    <row r="40" spans="1:11" ht="13" thickTop="1">
      <c r="H40" s="532"/>
      <c r="J40" s="532"/>
    </row>
    <row r="41" spans="1:11">
      <c r="H41" s="60"/>
      <c r="J41" s="60"/>
    </row>
    <row r="42" spans="1:11">
      <c r="H42" s="60"/>
      <c r="J42" s="60"/>
    </row>
    <row r="43" spans="1:11">
      <c r="H43" s="60"/>
      <c r="J43" s="60"/>
    </row>
    <row r="44" spans="1:11">
      <c r="H44" s="60"/>
      <c r="J44" s="60"/>
    </row>
    <row r="45" spans="1:11">
      <c r="H45" s="60"/>
      <c r="J45" s="60"/>
    </row>
    <row r="46" spans="1:11">
      <c r="H46" s="60"/>
      <c r="J46" s="60"/>
    </row>
    <row r="47" spans="1:11">
      <c r="H47" s="60"/>
      <c r="J47" s="60"/>
    </row>
    <row r="48" spans="1:11">
      <c r="H48" s="60"/>
      <c r="J48" s="60"/>
    </row>
    <row r="49" spans="8:10">
      <c r="H49" s="60"/>
      <c r="J49" s="60"/>
    </row>
    <row r="50" spans="8:10">
      <c r="H50" s="60"/>
      <c r="J50" s="60"/>
    </row>
    <row r="51" spans="8:10">
      <c r="H51" s="60"/>
      <c r="J51" s="60"/>
    </row>
    <row r="52" spans="8:10">
      <c r="H52" s="60"/>
      <c r="J52" s="60"/>
    </row>
    <row r="53" spans="8:10">
      <c r="H53" s="60"/>
      <c r="J53" s="60"/>
    </row>
    <row r="54" spans="8:10">
      <c r="H54" s="60"/>
      <c r="J54" s="60"/>
    </row>
    <row r="55" spans="8:10">
      <c r="H55" s="60"/>
    </row>
    <row r="56" spans="8:10">
      <c r="H56" s="60"/>
    </row>
  </sheetData>
  <sheetProtection formatCells="0" formatColumns="0" formatRows="0" insertColumns="0" insertRows="0" insertHyperlinks="0" deleteColumns="0" deleteRows="0" sort="0" autoFilter="0" pivotTables="0"/>
  <pageMargins left="0.7" right="0.7" top="0.75" bottom="0.75" header="0.3" footer="0.3"/>
  <pageSetup scale="85" orientation="landscape" cellComments="asDisplayed" r:id="rId1"/>
  <headerFooter>
    <oddHeader>&amp;CSchedule 34
Unfunded Reserves
&amp;RTO2021 Annual Update
Attachment 5
TO2018 True Up TRR</oddHeader>
    <oddFooter>&amp;R34-UnfundedReserves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zoomScalePageLayoutView="8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10" max="10" width="18.54296875" customWidth="1"/>
    <col min="11" max="11" width="20.54296875" customWidth="1"/>
  </cols>
  <sheetData>
    <row r="1" spans="1:6" ht="13">
      <c r="A1" s="1" t="s">
        <v>1071</v>
      </c>
    </row>
    <row r="2" spans="1:6" ht="13">
      <c r="A2" s="1"/>
    </row>
    <row r="3" spans="1:6">
      <c r="B3" s="12" t="s">
        <v>407</v>
      </c>
    </row>
    <row r="4" spans="1:6" ht="13">
      <c r="A4" s="1"/>
      <c r="B4" s="13" t="s">
        <v>339</v>
      </c>
    </row>
    <row r="5" spans="1:6" ht="13">
      <c r="A5" s="1"/>
      <c r="B5" s="13" t="s">
        <v>340</v>
      </c>
    </row>
    <row r="7" spans="1:6" ht="13">
      <c r="B7" s="1" t="s">
        <v>1001</v>
      </c>
    </row>
    <row r="8" spans="1:6">
      <c r="E8" s="16"/>
    </row>
    <row r="9" spans="1:6" ht="13">
      <c r="A9" s="51" t="s">
        <v>330</v>
      </c>
      <c r="B9" s="70" t="s">
        <v>1070</v>
      </c>
    </row>
    <row r="10" spans="1:6" ht="13">
      <c r="A10" s="2">
        <v>1</v>
      </c>
    </row>
    <row r="11" spans="1:6" ht="13">
      <c r="A11" s="2">
        <f>A10+1</f>
        <v>2</v>
      </c>
      <c r="B11" s="374" t="s">
        <v>1429</v>
      </c>
      <c r="C11" s="14"/>
      <c r="D11" s="14"/>
      <c r="E11" s="14"/>
      <c r="F11" s="14"/>
    </row>
    <row r="12" spans="1:6" ht="13">
      <c r="A12" s="2">
        <f t="shared" ref="A12:A87" si="0">A11+1</f>
        <v>3</v>
      </c>
      <c r="B12" s="374" t="s">
        <v>1047</v>
      </c>
      <c r="C12" s="14"/>
      <c r="D12" s="14"/>
      <c r="E12" s="14"/>
      <c r="F12" s="14"/>
    </row>
    <row r="13" spans="1:6" ht="13">
      <c r="A13" s="2">
        <f t="shared" si="0"/>
        <v>4</v>
      </c>
      <c r="B13" s="374"/>
      <c r="C13" s="14"/>
      <c r="D13" s="14"/>
      <c r="E13" s="14"/>
      <c r="F13" s="14"/>
    </row>
    <row r="14" spans="1:6" ht="13">
      <c r="A14" s="2">
        <f t="shared" si="0"/>
        <v>5</v>
      </c>
      <c r="B14" s="921" t="s">
        <v>2169</v>
      </c>
      <c r="C14" s="14"/>
      <c r="D14" s="14"/>
      <c r="E14" s="14"/>
      <c r="F14" s="14"/>
    </row>
    <row r="15" spans="1:6" ht="13">
      <c r="A15" s="2">
        <f t="shared" si="0"/>
        <v>6</v>
      </c>
      <c r="B15" s="375"/>
      <c r="C15" s="14"/>
      <c r="D15" s="14"/>
      <c r="E15" s="14"/>
      <c r="F15" s="14"/>
    </row>
    <row r="16" spans="1:6" ht="13">
      <c r="A16" s="2">
        <f t="shared" si="0"/>
        <v>7</v>
      </c>
      <c r="B16" s="374" t="s">
        <v>364</v>
      </c>
      <c r="C16" s="14"/>
      <c r="D16" s="14"/>
      <c r="E16" s="14"/>
      <c r="F16" s="372"/>
    </row>
    <row r="17" spans="1:6" ht="13">
      <c r="A17" s="2">
        <f t="shared" si="0"/>
        <v>8</v>
      </c>
      <c r="B17" s="376" t="s">
        <v>1043</v>
      </c>
      <c r="C17" s="14"/>
      <c r="D17" s="14"/>
      <c r="E17" s="14"/>
      <c r="F17" s="67"/>
    </row>
    <row r="18" spans="1:6" ht="13">
      <c r="A18" s="2">
        <f t="shared" si="0"/>
        <v>9</v>
      </c>
      <c r="B18" s="376" t="s">
        <v>1044</v>
      </c>
      <c r="C18" s="14"/>
      <c r="D18" s="14"/>
      <c r="E18" s="14"/>
      <c r="F18" s="67"/>
    </row>
    <row r="19" spans="1:6" ht="13">
      <c r="A19" s="2">
        <f t="shared" si="0"/>
        <v>10</v>
      </c>
      <c r="B19" s="376" t="s">
        <v>218</v>
      </c>
      <c r="C19" s="14"/>
      <c r="D19" s="14"/>
      <c r="E19" s="363"/>
      <c r="F19" s="63"/>
    </row>
    <row r="20" spans="1:6" ht="13">
      <c r="A20" s="2">
        <f t="shared" si="0"/>
        <v>11</v>
      </c>
      <c r="B20" s="44"/>
      <c r="C20" s="14"/>
      <c r="D20" s="363"/>
      <c r="E20" s="123" t="s">
        <v>205</v>
      </c>
      <c r="F20" s="14"/>
    </row>
    <row r="21" spans="1:6" ht="13">
      <c r="A21" s="2">
        <f t="shared" si="0"/>
        <v>12</v>
      </c>
      <c r="C21" s="363" t="s">
        <v>1080</v>
      </c>
      <c r="D21" s="373">
        <f>'1-BaseTRR'!K88</f>
        <v>2.1803914287979103E-2</v>
      </c>
      <c r="E21" s="46" t="str">
        <f>"1-BaseTRR, Line "&amp;'1-BaseTRR'!A88&amp;""</f>
        <v>1-BaseTRR, Line 51</v>
      </c>
      <c r="F21" s="14"/>
    </row>
    <row r="22" spans="1:6" ht="13">
      <c r="A22" s="2">
        <f t="shared" si="0"/>
        <v>13</v>
      </c>
      <c r="C22" s="363" t="s">
        <v>1081</v>
      </c>
      <c r="D22" s="373">
        <f>'1-BaseTRR'!K93</f>
        <v>5.4481252772996126E-2</v>
      </c>
      <c r="E22" s="46" t="str">
        <f>"1-BaseTRR, Line "&amp;'1-BaseTRR'!A93&amp;""</f>
        <v>1-BaseTRR, Line 55</v>
      </c>
      <c r="F22" s="14"/>
    </row>
    <row r="23" spans="1:6" ht="13">
      <c r="A23" s="2">
        <f t="shared" si="0"/>
        <v>14</v>
      </c>
      <c r="C23" s="363" t="s">
        <v>1046</v>
      </c>
      <c r="D23" s="373">
        <f>'1-BaseTRR'!K102</f>
        <v>0.27983599999999997</v>
      </c>
      <c r="E23" s="46" t="str">
        <f>"1-BaseTRR, Line "&amp;'1-BaseTRR'!A102&amp;""</f>
        <v>1-BaseTRR, Line 59</v>
      </c>
      <c r="F23" s="14"/>
    </row>
    <row r="24" spans="1:6" ht="13">
      <c r="A24" s="2">
        <f t="shared" si="0"/>
        <v>15</v>
      </c>
      <c r="B24" s="15"/>
      <c r="C24" s="14"/>
      <c r="D24" s="373"/>
      <c r="E24" s="46"/>
      <c r="F24" s="14"/>
    </row>
    <row r="25" spans="1:6" ht="13">
      <c r="A25" s="2">
        <f t="shared" si="0"/>
        <v>16</v>
      </c>
      <c r="C25" s="363" t="s">
        <v>1045</v>
      </c>
      <c r="D25" s="373">
        <f>D21 + (D22*(1/(1-D23)))</f>
        <v>9.7455089260618841E-2</v>
      </c>
      <c r="E25" s="46" t="str">
        <f>"Line "&amp;A21&amp;" + (Line "&amp;A22&amp;" * (1/(1 - Line "&amp;A23&amp;")))"</f>
        <v>Line 12 + (Line 13 * (1/(1 - Line 14)))</v>
      </c>
      <c r="F25" s="14"/>
    </row>
    <row r="26" spans="1:6" ht="13">
      <c r="A26" s="2">
        <f t="shared" si="0"/>
        <v>17</v>
      </c>
      <c r="B26" s="15"/>
      <c r="C26" s="14"/>
      <c r="D26" s="363"/>
      <c r="E26" s="46"/>
      <c r="F26" s="14"/>
    </row>
    <row r="27" spans="1:6" ht="13">
      <c r="A27" s="2">
        <f t="shared" si="0"/>
        <v>18</v>
      </c>
      <c r="B27" s="70" t="s">
        <v>999</v>
      </c>
      <c r="C27" s="14"/>
      <c r="D27" s="363"/>
      <c r="E27" s="46"/>
      <c r="F27" s="14"/>
    </row>
    <row r="28" spans="1:6" ht="13">
      <c r="A28" s="2">
        <f t="shared" si="0"/>
        <v>19</v>
      </c>
      <c r="B28" s="15"/>
      <c r="C28" s="14"/>
      <c r="D28" s="363"/>
      <c r="E28" s="46"/>
      <c r="F28" s="14"/>
    </row>
    <row r="29" spans="1:6" ht="13">
      <c r="A29" s="2">
        <f t="shared" si="0"/>
        <v>20</v>
      </c>
      <c r="B29" s="374" t="s">
        <v>1082</v>
      </c>
      <c r="C29" s="14"/>
      <c r="D29" s="363"/>
      <c r="E29" s="46"/>
      <c r="F29" s="14"/>
    </row>
    <row r="30" spans="1:6" ht="13">
      <c r="A30" s="2">
        <f t="shared" si="0"/>
        <v>21</v>
      </c>
      <c r="B30" s="374" t="s">
        <v>1083</v>
      </c>
      <c r="C30" s="14"/>
      <c r="D30" s="363"/>
      <c r="E30" s="46"/>
      <c r="F30" s="14"/>
    </row>
    <row r="31" spans="1:6" ht="13">
      <c r="A31" s="2">
        <f t="shared" si="0"/>
        <v>22</v>
      </c>
      <c r="C31" s="14"/>
      <c r="D31" s="363"/>
      <c r="E31" s="46"/>
      <c r="F31" s="14"/>
    </row>
    <row r="32" spans="1:6" ht="13">
      <c r="A32" s="2">
        <f t="shared" si="0"/>
        <v>23</v>
      </c>
      <c r="B32" s="376" t="s">
        <v>1048</v>
      </c>
      <c r="C32" s="14"/>
      <c r="D32" s="363"/>
      <c r="E32" s="46"/>
      <c r="F32" s="14"/>
    </row>
    <row r="33" spans="1:11" ht="13">
      <c r="A33" s="2">
        <f t="shared" si="0"/>
        <v>24</v>
      </c>
      <c r="F33" s="14"/>
    </row>
    <row r="34" spans="1:11" ht="13">
      <c r="A34" s="2">
        <f t="shared" si="0"/>
        <v>25</v>
      </c>
      <c r="B34" s="70" t="s">
        <v>1069</v>
      </c>
      <c r="F34" s="14"/>
    </row>
    <row r="35" spans="1:11" ht="13">
      <c r="A35" s="2">
        <f t="shared" si="0"/>
        <v>26</v>
      </c>
      <c r="B35" s="12"/>
      <c r="E35" s="3" t="s">
        <v>205</v>
      </c>
      <c r="F35" s="14"/>
    </row>
    <row r="36" spans="1:11" ht="13">
      <c r="A36" s="2">
        <f t="shared" si="0"/>
        <v>27</v>
      </c>
      <c r="C36" s="92" t="s">
        <v>1054</v>
      </c>
      <c r="D36" s="99">
        <f>'6-PlantInService'!M23</f>
        <v>9285531120.7645969</v>
      </c>
      <c r="E36" s="46" t="str">
        <f>"6-PlantInService, Line "&amp;'6-PlantInService'!A23&amp;""</f>
        <v>6-PlantInService, Line 13</v>
      </c>
      <c r="F36" s="14"/>
      <c r="G36" s="14"/>
    </row>
    <row r="37" spans="1:11" ht="13">
      <c r="A37" s="2">
        <f t="shared" si="0"/>
        <v>28</v>
      </c>
      <c r="C37" s="92" t="s">
        <v>1055</v>
      </c>
      <c r="D37" s="99">
        <f>'6-PlantInService'!F35</f>
        <v>0</v>
      </c>
      <c r="E37" s="46" t="str">
        <f>"6-PlantInService, Line "&amp;'6-PlantInService'!A35&amp;""</f>
        <v>6-PlantInService, Line 16</v>
      </c>
      <c r="F37" s="14"/>
      <c r="G37" s="14"/>
    </row>
    <row r="38" spans="1:11" ht="13">
      <c r="A38" s="2">
        <f t="shared" si="0"/>
        <v>29</v>
      </c>
      <c r="C38" s="92" t="s">
        <v>1067</v>
      </c>
      <c r="D38" s="99">
        <f>'8-AccDep'!N24</f>
        <v>1910452318.1000457</v>
      </c>
      <c r="E38" s="46" t="str">
        <f>"8-AccDep, Line "&amp;'8-AccDep'!A24&amp;""</f>
        <v>8-AccDep, Line 13</v>
      </c>
      <c r="F38" s="14"/>
      <c r="G38" s="14"/>
    </row>
    <row r="39" spans="1:11" ht="13">
      <c r="A39" s="2">
        <f t="shared" si="0"/>
        <v>30</v>
      </c>
      <c r="C39" s="92" t="s">
        <v>1068</v>
      </c>
      <c r="D39" s="91">
        <f>'8-AccDep'!G34</f>
        <v>0</v>
      </c>
      <c r="E39" s="46" t="str">
        <f>"8-AccDep, Line "&amp;'8-AccDep'!A34&amp;""</f>
        <v>8-AccDep, Line 16</v>
      </c>
      <c r="F39" s="14"/>
      <c r="G39" s="14"/>
    </row>
    <row r="40" spans="1:11" ht="13">
      <c r="A40" s="2">
        <f t="shared" si="0"/>
        <v>31</v>
      </c>
      <c r="C40" s="92" t="s">
        <v>1000</v>
      </c>
      <c r="D40" s="7">
        <f>(D36+D37)-(D38+D39)</f>
        <v>7375078802.6645508</v>
      </c>
      <c r="E40" s="46" t="str">
        <f>"(L"&amp;A36&amp;" + L"&amp;A37&amp;") - (L"&amp;A38&amp;" + L"&amp;A39&amp;")"</f>
        <v>(L27 + L28) - (L29 + L30)</v>
      </c>
      <c r="F40" s="14"/>
      <c r="G40" s="14"/>
    </row>
    <row r="41" spans="1:11" ht="13">
      <c r="A41" s="2">
        <f t="shared" si="0"/>
        <v>32</v>
      </c>
      <c r="C41" s="92"/>
      <c r="D41" s="7"/>
      <c r="E41" s="46"/>
      <c r="F41" s="14"/>
      <c r="G41" s="14"/>
    </row>
    <row r="42" spans="1:11" ht="13">
      <c r="A42" s="2">
        <f t="shared" si="0"/>
        <v>33</v>
      </c>
      <c r="B42" s="70" t="s">
        <v>1410</v>
      </c>
      <c r="E42" s="14"/>
      <c r="F42" s="14"/>
      <c r="G42" s="14"/>
    </row>
    <row r="43" spans="1:11" ht="13">
      <c r="A43" s="466">
        <f t="shared" si="0"/>
        <v>34</v>
      </c>
      <c r="B43" s="70"/>
      <c r="E43" s="14"/>
      <c r="F43" s="14"/>
      <c r="G43" s="14"/>
    </row>
    <row r="44" spans="1:11" ht="13">
      <c r="A44" s="466">
        <f t="shared" si="0"/>
        <v>35</v>
      </c>
      <c r="B44" s="70" t="s">
        <v>1411</v>
      </c>
      <c r="E44" s="14"/>
      <c r="F44" s="14"/>
      <c r="G44" s="14"/>
    </row>
    <row r="45" spans="1:11" ht="13">
      <c r="A45" s="466">
        <f t="shared" si="0"/>
        <v>36</v>
      </c>
      <c r="B45" s="55" t="s">
        <v>1412</v>
      </c>
      <c r="E45" s="14"/>
      <c r="F45" s="14"/>
      <c r="G45" s="14"/>
    </row>
    <row r="46" spans="1:11" ht="13">
      <c r="A46" s="466">
        <f t="shared" si="0"/>
        <v>37</v>
      </c>
      <c r="B46" s="70"/>
      <c r="C46" s="92" t="s">
        <v>1430</v>
      </c>
      <c r="D46" s="47">
        <f>'10-CWIP'!D25</f>
        <v>647763205.16651607</v>
      </c>
      <c r="E46" s="46" t="str">
        <f>"10-CWIP, L "&amp;'10-CWIP'!A25&amp;" C1"</f>
        <v>10-CWIP, L 13 C1</v>
      </c>
      <c r="F46" s="14"/>
      <c r="G46" s="14"/>
      <c r="K46" s="7"/>
    </row>
    <row r="47" spans="1:11" ht="13">
      <c r="A47" s="466">
        <f t="shared" si="0"/>
        <v>38</v>
      </c>
      <c r="B47" s="70"/>
      <c r="C47" s="92" t="s">
        <v>352</v>
      </c>
      <c r="D47" s="1350">
        <f>D25</f>
        <v>9.7455089260618841E-2</v>
      </c>
      <c r="E47" s="46" t="str">
        <f>"Line "&amp;A25&amp;""</f>
        <v>Line 16</v>
      </c>
      <c r="F47" s="14"/>
      <c r="G47" s="14"/>
      <c r="K47" s="7"/>
    </row>
    <row r="48" spans="1:11" ht="13">
      <c r="A48" s="466">
        <f t="shared" si="0"/>
        <v>39</v>
      </c>
      <c r="B48" s="70"/>
      <c r="C48" s="92" t="s">
        <v>1405</v>
      </c>
      <c r="D48" s="47">
        <f>D46*D47</f>
        <v>63127820.979247376</v>
      </c>
      <c r="E48" s="46" t="str">
        <f>"Line "&amp;A46&amp;" * Line "&amp;A47&amp;""</f>
        <v>Line 37 * Line 38</v>
      </c>
      <c r="F48" s="14"/>
      <c r="G48" s="14"/>
      <c r="K48" s="7"/>
    </row>
    <row r="49" spans="1:11" ht="13">
      <c r="A49" s="466">
        <f t="shared" si="0"/>
        <v>40</v>
      </c>
      <c r="B49" s="70"/>
      <c r="C49" s="92"/>
      <c r="D49" s="47"/>
      <c r="E49" s="46"/>
      <c r="F49" s="14"/>
      <c r="G49" s="14"/>
      <c r="K49" s="7"/>
    </row>
    <row r="50" spans="1:11" ht="13">
      <c r="A50" s="466">
        <f t="shared" si="0"/>
        <v>41</v>
      </c>
      <c r="B50" s="55" t="s">
        <v>1413</v>
      </c>
      <c r="D50" s="14"/>
      <c r="E50" s="14"/>
      <c r="F50" s="14"/>
      <c r="G50" s="14"/>
      <c r="K50" s="7"/>
    </row>
    <row r="51" spans="1:11" ht="13">
      <c r="A51" s="466">
        <f t="shared" si="0"/>
        <v>42</v>
      </c>
      <c r="B51" s="70"/>
      <c r="C51" s="92" t="s">
        <v>1419</v>
      </c>
      <c r="D51" s="47">
        <f>'15-IncentiveAdder'!G17</f>
        <v>6237.528775852611</v>
      </c>
      <c r="E51" s="112" t="str">
        <f>"15-IncentiveAdder, Line "&amp;'15-IncentiveAdder'!A17&amp;""</f>
        <v>15-IncentiveAdder, Line 3</v>
      </c>
      <c r="F51" s="14"/>
      <c r="G51" s="14"/>
      <c r="K51" s="7"/>
    </row>
    <row r="52" spans="1:11" ht="13">
      <c r="A52" s="466">
        <f t="shared" si="0"/>
        <v>43</v>
      </c>
      <c r="B52" s="70"/>
      <c r="C52" s="92"/>
      <c r="D52" s="14"/>
      <c r="E52" s="14"/>
      <c r="F52" s="14"/>
      <c r="G52" s="14"/>
      <c r="K52" s="7"/>
    </row>
    <row r="53" spans="1:11" ht="13">
      <c r="A53" s="466">
        <f t="shared" si="0"/>
        <v>44</v>
      </c>
      <c r="B53" s="70"/>
      <c r="C53" s="92" t="s">
        <v>1392</v>
      </c>
      <c r="D53" s="63">
        <f>'10-CWIP'!E25</f>
        <v>157682.99</v>
      </c>
      <c r="E53" s="46" t="str">
        <f>"10-CWIP, Line "&amp;'10-CWIP'!A25&amp;""</f>
        <v>10-CWIP, Line 13</v>
      </c>
      <c r="F53" s="15"/>
      <c r="G53" s="14"/>
      <c r="K53" s="7"/>
    </row>
    <row r="54" spans="1:11" ht="13">
      <c r="A54" s="466">
        <f t="shared" si="0"/>
        <v>45</v>
      </c>
      <c r="B54" s="70"/>
      <c r="C54" s="92" t="s">
        <v>1416</v>
      </c>
      <c r="D54" s="78">
        <f>'15-IncentiveAdder'!E26</f>
        <v>1.2500000000000001E-2</v>
      </c>
      <c r="E54" s="112" t="str">
        <f>"15-IncentiveAdder, Line "&amp;'15-IncentiveAdder'!A26&amp;""</f>
        <v>15-IncentiveAdder, Line 5</v>
      </c>
      <c r="F54" s="15"/>
      <c r="G54" s="14"/>
      <c r="K54" s="7"/>
    </row>
    <row r="55" spans="1:11" ht="13">
      <c r="A55" s="466">
        <f t="shared" si="0"/>
        <v>46</v>
      </c>
      <c r="B55" s="70"/>
      <c r="C55" s="92" t="s">
        <v>1415</v>
      </c>
      <c r="D55" s="63">
        <f>(D53/1000000)*($D$51*(D54/0.01))</f>
        <v>1229.4402344843493</v>
      </c>
      <c r="E55" s="475" t="str">
        <f>"Formula on Line "&amp;A61&amp;""</f>
        <v>Formula on Line 52</v>
      </c>
      <c r="F55" s="14"/>
      <c r="G55" s="14"/>
      <c r="K55" s="7"/>
    </row>
    <row r="56" spans="1:11" ht="13">
      <c r="A56" s="466">
        <f t="shared" si="0"/>
        <v>47</v>
      </c>
      <c r="B56" s="70"/>
      <c r="C56" s="92"/>
      <c r="D56" s="14"/>
      <c r="E56" s="63"/>
      <c r="F56" s="14"/>
      <c r="G56" s="14"/>
      <c r="K56" s="7"/>
    </row>
    <row r="57" spans="1:11" ht="13">
      <c r="A57" s="466">
        <f t="shared" si="0"/>
        <v>48</v>
      </c>
      <c r="C57" s="92" t="s">
        <v>1414</v>
      </c>
      <c r="D57" s="63">
        <f>'10-CWIP'!F25</f>
        <v>0</v>
      </c>
      <c r="E57" s="46" t="str">
        <f>"10-CWIP, Line "&amp;'10-CWIP'!A25&amp;""</f>
        <v>10-CWIP, Line 13</v>
      </c>
      <c r="F57" s="14"/>
      <c r="G57" s="14"/>
      <c r="K57" s="7"/>
    </row>
    <row r="58" spans="1:11" ht="13">
      <c r="A58" s="466">
        <f t="shared" si="0"/>
        <v>49</v>
      </c>
      <c r="C58" s="92" t="s">
        <v>1417</v>
      </c>
      <c r="D58" s="78">
        <f>'15-IncentiveAdder'!E27</f>
        <v>0.01</v>
      </c>
      <c r="E58" s="112" t="str">
        <f>"15-IncentiveAdder, Line "&amp;'15-IncentiveAdder'!A27&amp;""</f>
        <v>15-IncentiveAdder, Line 6</v>
      </c>
      <c r="F58" s="14"/>
      <c r="G58" s="14"/>
      <c r="K58" s="7"/>
    </row>
    <row r="59" spans="1:11" ht="13">
      <c r="A59" s="466">
        <f t="shared" si="0"/>
        <v>50</v>
      </c>
      <c r="C59" s="92" t="s">
        <v>1418</v>
      </c>
      <c r="D59" s="63">
        <f>(D57/1000000)*($D$51*(D58/0.01))</f>
        <v>0</v>
      </c>
      <c r="E59" s="46" t="str">
        <f>"Formula on Line "&amp;A61&amp;""</f>
        <v>Formula on Line 52</v>
      </c>
      <c r="F59" s="14"/>
      <c r="G59" s="14"/>
      <c r="K59" s="7"/>
    </row>
    <row r="60" spans="1:11" ht="13">
      <c r="A60" s="466">
        <f t="shared" si="0"/>
        <v>51</v>
      </c>
      <c r="C60" s="92"/>
      <c r="D60" s="63"/>
      <c r="E60" s="46"/>
      <c r="F60" s="14"/>
      <c r="G60" s="14"/>
      <c r="K60" s="7"/>
    </row>
    <row r="61" spans="1:11" ht="13">
      <c r="A61" s="466">
        <f t="shared" si="0"/>
        <v>52</v>
      </c>
      <c r="C61" s="50" t="s">
        <v>1394</v>
      </c>
      <c r="D61" s="63"/>
      <c r="E61" s="46"/>
      <c r="F61" s="14"/>
      <c r="G61" s="14"/>
      <c r="K61" s="7"/>
    </row>
    <row r="62" spans="1:11" ht="13">
      <c r="A62" s="466">
        <f t="shared" si="0"/>
        <v>53</v>
      </c>
      <c r="D62" s="14"/>
      <c r="E62" s="14"/>
      <c r="F62" s="14"/>
      <c r="G62" s="14"/>
      <c r="K62" s="7"/>
    </row>
    <row r="63" spans="1:11" ht="13">
      <c r="A63" s="466">
        <f t="shared" si="0"/>
        <v>54</v>
      </c>
      <c r="C63" s="474" t="s">
        <v>1449</v>
      </c>
      <c r="D63" s="47">
        <f>D48+D55+D59</f>
        <v>63129050.419481859</v>
      </c>
      <c r="E63" s="46" t="str">
        <f>"Line "&amp;A48&amp;" + Line "&amp;A55&amp;" + Line "&amp;A59&amp;""</f>
        <v>Line 39 + Line 46 + Line 50</v>
      </c>
      <c r="F63" s="14"/>
      <c r="G63" s="14"/>
      <c r="K63" s="7"/>
    </row>
    <row r="64" spans="1:11" ht="13">
      <c r="A64" s="473">
        <f t="shared" si="0"/>
        <v>55</v>
      </c>
      <c r="C64" s="474" t="s">
        <v>1448</v>
      </c>
      <c r="D64" s="110">
        <f>('28-FFU'!D22+'28-FFU'!E22)*D63</f>
        <v>718540.24648328195</v>
      </c>
      <c r="E64" s="475" t="str">
        <f>"(28-FFU, L"&amp;'28-FFU'!A22&amp;" FF Factor + U Factor) * L"&amp;A63&amp;""</f>
        <v>(28-FFU, L5 FF Factor + U Factor) * L54</v>
      </c>
      <c r="F64" s="14"/>
      <c r="G64" s="14"/>
      <c r="K64" s="7"/>
    </row>
    <row r="65" spans="1:11" ht="13">
      <c r="A65" s="473">
        <f t="shared" si="0"/>
        <v>56</v>
      </c>
      <c r="C65" s="474" t="s">
        <v>1450</v>
      </c>
      <c r="D65" s="47">
        <f>SUM(D63:D64)</f>
        <v>63847590.66596514</v>
      </c>
      <c r="E65" s="46" t="str">
        <f>"Line "&amp;A63&amp;" + Line "&amp;A64&amp;""</f>
        <v>Line 54 + Line 55</v>
      </c>
      <c r="F65" s="14"/>
      <c r="K65" s="7"/>
    </row>
    <row r="66" spans="1:11" ht="13">
      <c r="A66" s="473">
        <f t="shared" si="0"/>
        <v>57</v>
      </c>
      <c r="C66" s="92"/>
      <c r="D66" s="99"/>
      <c r="E66" s="46"/>
      <c r="F66" s="14"/>
      <c r="K66" s="7"/>
    </row>
    <row r="67" spans="1:11" ht="13">
      <c r="A67" s="473">
        <f t="shared" si="0"/>
        <v>58</v>
      </c>
      <c r="B67" s="70" t="s">
        <v>1420</v>
      </c>
      <c r="C67" s="92"/>
      <c r="D67" s="99"/>
      <c r="E67" s="46"/>
      <c r="F67" s="14"/>
      <c r="K67" s="7"/>
    </row>
    <row r="68" spans="1:11" ht="13">
      <c r="A68" s="473">
        <f t="shared" si="0"/>
        <v>59</v>
      </c>
      <c r="F68" s="14"/>
      <c r="K68" s="7"/>
    </row>
    <row r="69" spans="1:11" ht="13">
      <c r="A69" s="109">
        <f t="shared" si="0"/>
        <v>60</v>
      </c>
      <c r="B69" s="14"/>
      <c r="C69" s="918" t="s">
        <v>1449</v>
      </c>
      <c r="D69" s="47">
        <f>D63</f>
        <v>63129050.419481859</v>
      </c>
      <c r="E69" s="46" t="str">
        <f>"Line "&amp;A63&amp;""</f>
        <v>Line 54</v>
      </c>
      <c r="F69" s="14"/>
      <c r="K69" s="7"/>
    </row>
    <row r="70" spans="1:11" ht="13">
      <c r="A70" s="109">
        <f t="shared" si="0"/>
        <v>61</v>
      </c>
      <c r="B70" s="14"/>
      <c r="C70" s="918" t="s">
        <v>1715</v>
      </c>
      <c r="D70" s="47">
        <f>'1-BaseTRR'!K137</f>
        <v>1057415434.1674473</v>
      </c>
      <c r="E70" s="46" t="str">
        <f>"1-BaseTRR, Line "&amp;'1-BaseTRR'!A137&amp;""</f>
        <v>1-BaseTRR, Line 78</v>
      </c>
      <c r="F70" s="14"/>
      <c r="K70" s="7"/>
    </row>
    <row r="71" spans="1:11" ht="13">
      <c r="A71" s="109">
        <f t="shared" si="0"/>
        <v>62</v>
      </c>
      <c r="B71" s="14"/>
      <c r="C71" s="363" t="s">
        <v>1431</v>
      </c>
      <c r="D71" s="47">
        <f>D70-D69</f>
        <v>994286383.74796546</v>
      </c>
      <c r="E71" s="46" t="str">
        <f>"Line "&amp;A70&amp;" - Line "&amp;A69&amp;""</f>
        <v>Line 61 - Line 60</v>
      </c>
      <c r="F71" s="14"/>
      <c r="K71" s="7"/>
    </row>
    <row r="72" spans="1:11" ht="13">
      <c r="A72" s="109">
        <f t="shared" si="0"/>
        <v>63</v>
      </c>
      <c r="B72" s="14"/>
      <c r="C72" s="919" t="s">
        <v>1827</v>
      </c>
      <c r="D72" s="63">
        <f>('1-BaseTRR'!K124+'1-BaseTRR'!K125)*0.75</f>
        <v>146876315.11531308</v>
      </c>
      <c r="E72" s="46" t="str">
        <f>"(1-BaseTRR, Line "&amp;'1-BaseTRR'!A124&amp;" + Line "&amp;'1-BaseTRR'!A125&amp;") * .75"</f>
        <v>(1-BaseTRR, Line 66 + Line 67) * .75</v>
      </c>
      <c r="F72" s="14"/>
      <c r="K72" s="7"/>
    </row>
    <row r="73" spans="1:11" ht="13">
      <c r="A73" s="109">
        <f t="shared" si="0"/>
        <v>64</v>
      </c>
      <c r="B73" s="14"/>
      <c r="C73" s="363" t="s">
        <v>271</v>
      </c>
      <c r="D73" s="1350">
        <f xml:space="preserve"> (D71-D72)/D40</f>
        <v>0.1149018324151995</v>
      </c>
      <c r="E73" s="46" t="str">
        <f>"(Line "&amp;A71&amp;" - Line "&amp;A72&amp;") / Line "&amp;A40&amp;""</f>
        <v>(Line 62 - Line 63) / Line 31</v>
      </c>
      <c r="F73" s="14"/>
      <c r="K73" s="7"/>
    </row>
    <row r="74" spans="1:11" ht="13">
      <c r="A74" s="109">
        <f t="shared" si="0"/>
        <v>65</v>
      </c>
      <c r="B74" s="14"/>
      <c r="C74" s="14"/>
      <c r="D74" s="63"/>
      <c r="E74" s="46"/>
      <c r="F74" s="14"/>
    </row>
    <row r="75" spans="1:11" ht="13">
      <c r="A75" s="109">
        <f t="shared" si="0"/>
        <v>66</v>
      </c>
      <c r="B75" s="44" t="s">
        <v>350</v>
      </c>
      <c r="C75" s="14"/>
      <c r="D75" s="14"/>
      <c r="E75" s="14"/>
      <c r="F75" s="14"/>
    </row>
    <row r="76" spans="1:11" ht="13">
      <c r="A76" s="109">
        <f t="shared" si="0"/>
        <v>67</v>
      </c>
      <c r="B76" s="14"/>
      <c r="C76" s="14"/>
      <c r="D76" s="14"/>
      <c r="E76" s="14"/>
      <c r="F76" s="14"/>
    </row>
    <row r="77" spans="1:11" ht="13">
      <c r="A77" s="109">
        <f t="shared" si="0"/>
        <v>68</v>
      </c>
      <c r="B77" s="14"/>
      <c r="C77" s="14"/>
      <c r="D77" s="14"/>
      <c r="E77" s="123" t="s">
        <v>205</v>
      </c>
      <c r="F77" s="14"/>
      <c r="I77" s="1"/>
    </row>
    <row r="78" spans="1:11" ht="13">
      <c r="A78" s="109">
        <f t="shared" si="0"/>
        <v>69</v>
      </c>
      <c r="B78" s="14"/>
      <c r="C78" s="363" t="s">
        <v>270</v>
      </c>
      <c r="D78" s="63">
        <f>'16-PlantAdditions'!N37</f>
        <v>1185405572.5791755</v>
      </c>
      <c r="E78" s="46" t="str">
        <f>"16-PlantAdditions, L "&amp;'16-PlantAdditions'!A37&amp;", C10"</f>
        <v>16-PlantAdditions, L 25, C10</v>
      </c>
      <c r="F78" s="14"/>
      <c r="K78" s="7"/>
    </row>
    <row r="79" spans="1:11" ht="13">
      <c r="A79" s="109">
        <f t="shared" si="0"/>
        <v>70</v>
      </c>
      <c r="B79" s="14"/>
      <c r="C79" s="363" t="s">
        <v>271</v>
      </c>
      <c r="D79" s="920">
        <f>D73</f>
        <v>0.1149018324151995</v>
      </c>
      <c r="E79" s="46" t="str">
        <f>"Line "&amp;A73&amp;""</f>
        <v>Line 64</v>
      </c>
      <c r="F79" s="14"/>
      <c r="K79" s="697"/>
    </row>
    <row r="80" spans="1:11" ht="13">
      <c r="A80" s="109">
        <f t="shared" si="0"/>
        <v>71</v>
      </c>
      <c r="B80" s="14"/>
      <c r="C80" s="363" t="s">
        <v>351</v>
      </c>
      <c r="D80" s="63">
        <f>D78*D79</f>
        <v>136205272.44453603</v>
      </c>
      <c r="E80" s="46" t="str">
        <f>"Line "&amp;A78&amp;" * Line "&amp;A79&amp;""</f>
        <v>Line 69 * Line 70</v>
      </c>
      <c r="F80" s="14"/>
      <c r="K80" s="7"/>
    </row>
    <row r="81" spans="1:11" ht="13">
      <c r="A81" s="109">
        <f t="shared" si="0"/>
        <v>72</v>
      </c>
      <c r="B81" s="14"/>
      <c r="C81" s="14"/>
      <c r="D81" s="14"/>
      <c r="E81" s="14"/>
      <c r="F81" s="14"/>
      <c r="K81" s="7"/>
    </row>
    <row r="82" spans="1:11" ht="13">
      <c r="A82" s="109">
        <f t="shared" si="0"/>
        <v>73</v>
      </c>
      <c r="B82" s="14"/>
      <c r="C82" s="363" t="s">
        <v>354</v>
      </c>
      <c r="D82" s="63">
        <f>'10-CWIP'!K79</f>
        <v>-371898027.79150784</v>
      </c>
      <c r="E82" s="46" t="str">
        <f>"10-CWIP, L "&amp;'10-CWIP'!A79&amp;", C8"</f>
        <v>10-CWIP, L 54, C8</v>
      </c>
      <c r="F82" s="14"/>
      <c r="K82" s="7"/>
    </row>
    <row r="83" spans="1:11" ht="13">
      <c r="A83" s="109">
        <f t="shared" si="0"/>
        <v>74</v>
      </c>
      <c r="B83" s="14"/>
      <c r="C83" s="363" t="s">
        <v>352</v>
      </c>
      <c r="D83" s="920">
        <f>D25</f>
        <v>9.7455089260618841E-2</v>
      </c>
      <c r="E83" s="46" t="str">
        <f>"Line "&amp;A25&amp;""</f>
        <v>Line 16</v>
      </c>
      <c r="F83" s="14"/>
      <c r="K83" s="697"/>
    </row>
    <row r="84" spans="1:11" ht="13">
      <c r="A84" s="109">
        <f t="shared" si="0"/>
        <v>75</v>
      </c>
      <c r="B84" s="14"/>
      <c r="C84" s="363" t="s">
        <v>353</v>
      </c>
      <c r="D84" s="63">
        <f>D82*D83</f>
        <v>-36243355.494269505</v>
      </c>
      <c r="E84" s="46" t="str">
        <f>"Line "&amp;A82&amp;" * Line "&amp;A83&amp;""</f>
        <v>Line 73 * Line 74</v>
      </c>
      <c r="F84" s="14"/>
      <c r="K84" s="7"/>
    </row>
    <row r="85" spans="1:11" ht="13">
      <c r="A85" s="109">
        <f t="shared" si="0"/>
        <v>76</v>
      </c>
      <c r="B85" s="14"/>
      <c r="C85" s="14"/>
      <c r="D85" s="14"/>
      <c r="E85" s="14"/>
      <c r="F85" s="14"/>
      <c r="K85" s="7"/>
    </row>
    <row r="86" spans="1:11" ht="13">
      <c r="A86" s="109">
        <f t="shared" si="0"/>
        <v>77</v>
      </c>
      <c r="B86" s="14"/>
      <c r="C86" s="363" t="s">
        <v>1436</v>
      </c>
      <c r="D86" s="63">
        <f>D80+D84</f>
        <v>99961916.950266525</v>
      </c>
      <c r="E86" s="46" t="str">
        <f>"Line "&amp;A80&amp;" + Line "&amp;A84&amp;""</f>
        <v>Line 71 + Line 75</v>
      </c>
      <c r="F86" s="14"/>
      <c r="K86" s="7"/>
    </row>
    <row r="87" spans="1:11" ht="13">
      <c r="A87" s="109">
        <f t="shared" si="0"/>
        <v>78</v>
      </c>
      <c r="B87" s="14"/>
      <c r="C87" s="14"/>
      <c r="D87" s="14"/>
      <c r="E87" s="14"/>
      <c r="F87" s="14"/>
      <c r="K87" s="7"/>
    </row>
    <row r="88" spans="1:11" ht="13">
      <c r="A88" s="109">
        <f>A87+1</f>
        <v>79</v>
      </c>
      <c r="B88" s="14"/>
      <c r="C88" s="363" t="s">
        <v>1437</v>
      </c>
      <c r="D88" s="63">
        <f>'28-FFU'!D22*D86</f>
        <v>924455.59182362026</v>
      </c>
      <c r="E88" s="112" t="str">
        <f>"Line "&amp;A86&amp;" * FF (from 28-FFU, L "&amp;'28-FFU'!A22&amp;")"</f>
        <v>Line 77 * FF (from 28-FFU, L 5)</v>
      </c>
      <c r="F88" s="14"/>
      <c r="K88" s="7"/>
    </row>
    <row r="89" spans="1:11" ht="13">
      <c r="A89" s="109">
        <f>A88+1</f>
        <v>80</v>
      </c>
      <c r="B89" s="14"/>
      <c r="C89" s="79" t="s">
        <v>1438</v>
      </c>
      <c r="D89" s="63">
        <f>'28-FFU'!E22*D86</f>
        <v>213319.48901649797</v>
      </c>
      <c r="E89" s="112" t="str">
        <f>"Line "&amp;A86&amp;" * U (from 28-FFU, L "&amp;'28-FFU'!A22&amp;")"</f>
        <v>Line 77 * U (from 28-FFU, L 5)</v>
      </c>
      <c r="F89" s="14"/>
      <c r="K89" s="7"/>
    </row>
    <row r="90" spans="1:11" ht="13">
      <c r="A90" s="109">
        <f>A89+1</f>
        <v>81</v>
      </c>
      <c r="B90" s="14"/>
      <c r="C90" s="14"/>
      <c r="D90" s="63"/>
      <c r="E90" s="14"/>
      <c r="F90" s="14"/>
      <c r="K90" s="7"/>
    </row>
    <row r="91" spans="1:11" ht="13">
      <c r="A91" s="109">
        <f>A90+1</f>
        <v>82</v>
      </c>
      <c r="B91" s="14"/>
      <c r="C91" s="79" t="s">
        <v>355</v>
      </c>
      <c r="D91" s="63">
        <f>D86+D88+D89</f>
        <v>101099692.03110665</v>
      </c>
      <c r="E91" s="46" t="str">
        <f>"Line "&amp;A86&amp;" + Line "&amp;A88&amp;" + Line "&amp;A89&amp;""</f>
        <v>Line 77 + Line 79 + Line 80</v>
      </c>
      <c r="F91" s="14"/>
      <c r="K91" s="7"/>
    </row>
  </sheetData>
  <phoneticPr fontId="23" type="noConversion"/>
  <pageMargins left="0.75" right="0.75" top="1" bottom="1" header="0.5" footer="0.5"/>
  <pageSetup scale="75" orientation="portrait" cellComments="asDisplayed" r:id="rId1"/>
  <headerFooter alignWithMargins="0">
    <oddHeader>&amp;CSchedule 2
Incremental Forecast Period TRR
&amp;RTO2021 Annual Update
Attachment 5
TO2018 True Up TRR</oddHeader>
    <oddFooter>&amp;R&amp;A</oddFooter>
  </headerFooter>
  <rowBreaks count="1" manualBreakCount="1">
    <brk id="66"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7"/>
  <sheetViews>
    <sheetView zoomScaleNormal="100" zoomScalePageLayoutView="8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1677</v>
      </c>
      <c r="B1" s="230"/>
      <c r="C1" s="230"/>
      <c r="D1" s="230"/>
      <c r="E1" s="230"/>
      <c r="F1" s="230"/>
      <c r="G1" s="230"/>
      <c r="H1" s="230"/>
      <c r="I1" s="230"/>
      <c r="J1" s="230"/>
      <c r="K1" s="230"/>
      <c r="L1" s="230"/>
    </row>
    <row r="2" spans="1:12">
      <c r="A2" s="230"/>
      <c r="B2" s="230"/>
      <c r="C2" s="230"/>
      <c r="D2" s="230"/>
      <c r="E2" s="230"/>
      <c r="F2" s="230"/>
      <c r="G2" s="230"/>
      <c r="H2" s="230"/>
      <c r="I2" s="230"/>
      <c r="J2" s="230"/>
      <c r="K2" s="230"/>
      <c r="L2" s="230"/>
    </row>
    <row r="3" spans="1:12" ht="13">
      <c r="A3" s="230"/>
      <c r="B3" s="1" t="s">
        <v>489</v>
      </c>
      <c r="C3" s="230"/>
      <c r="D3" s="230"/>
      <c r="E3" s="230"/>
      <c r="F3" s="230"/>
      <c r="G3" s="230"/>
      <c r="H3" s="230"/>
      <c r="I3" s="230"/>
      <c r="J3" s="230"/>
      <c r="K3" s="230"/>
      <c r="L3" s="230"/>
    </row>
    <row r="4" spans="1:12">
      <c r="A4" s="230"/>
      <c r="B4" s="480" t="s">
        <v>2250</v>
      </c>
      <c r="C4" s="230"/>
      <c r="D4" s="230"/>
      <c r="E4" s="230"/>
      <c r="F4" s="230"/>
      <c r="G4" s="230"/>
      <c r="H4" s="230"/>
      <c r="I4" s="230"/>
      <c r="J4" s="230"/>
      <c r="K4" s="230"/>
      <c r="L4" s="230"/>
    </row>
    <row r="5" spans="1:12">
      <c r="A5" s="230"/>
      <c r="B5" s="13" t="s">
        <v>1483</v>
      </c>
      <c r="C5" s="230"/>
      <c r="D5" s="230"/>
      <c r="E5" s="230"/>
      <c r="F5" s="230"/>
      <c r="G5" s="230"/>
      <c r="H5" s="230"/>
      <c r="I5" s="230"/>
      <c r="J5" s="230"/>
      <c r="K5" s="230"/>
      <c r="L5" s="230"/>
    </row>
    <row r="6" spans="1:12">
      <c r="A6" s="230"/>
      <c r="B6" s="480" t="s">
        <v>1056</v>
      </c>
      <c r="C6" s="230"/>
      <c r="D6" s="230"/>
      <c r="E6" s="230"/>
      <c r="F6" s="230"/>
      <c r="G6" s="230"/>
      <c r="H6" s="230"/>
      <c r="I6" s="230"/>
      <c r="J6" s="230"/>
      <c r="K6" s="230"/>
      <c r="L6" s="230"/>
    </row>
    <row r="7" spans="1:12">
      <c r="A7" s="230"/>
      <c r="B7" s="480" t="str">
        <f>"d) Include previous Annual Update Cumulative Excess or Shortfall in Prior Year (from Previous Annual Update Line "&amp;A36&amp;")"</f>
        <v>d) Include previous Annual Update Cumulative Excess or Shortfall in Prior Year (from Previous Annual Update Line 23)</v>
      </c>
      <c r="C7" s="230"/>
      <c r="D7" s="230"/>
      <c r="E7" s="230"/>
      <c r="F7" s="230"/>
      <c r="G7" s="230"/>
      <c r="H7" s="230"/>
      <c r="I7" s="230"/>
      <c r="J7" s="230"/>
      <c r="K7" s="230"/>
      <c r="L7" s="230"/>
    </row>
    <row r="8" spans="1:12">
      <c r="A8" s="230"/>
      <c r="B8" s="1152" t="str">
        <f>"and any One-Time Adjustments in Column 4 (Lines "&amp;A24&amp;" and "&amp;A25&amp;" respectively)."</f>
        <v>and any One-Time Adjustments in Column 4 (Lines 11 and 12 respectively).</v>
      </c>
      <c r="C8" s="230"/>
      <c r="D8" s="230"/>
      <c r="E8" s="230"/>
      <c r="F8" s="230"/>
      <c r="G8" s="230"/>
      <c r="H8" s="230"/>
      <c r="I8" s="230"/>
      <c r="J8" s="230"/>
      <c r="K8" s="230"/>
      <c r="L8" s="230"/>
    </row>
    <row r="9" spans="1:12">
      <c r="A9" s="230"/>
      <c r="B9" s="13"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230"/>
      <c r="D9" s="230"/>
      <c r="E9" s="230"/>
      <c r="F9" s="230"/>
      <c r="G9" s="230"/>
      <c r="H9" s="230"/>
      <c r="I9" s="230"/>
      <c r="J9" s="230"/>
      <c r="K9" s="230"/>
      <c r="L9" s="230"/>
    </row>
    <row r="10" spans="1:12">
      <c r="A10" s="230"/>
      <c r="B10" s="230"/>
      <c r="C10" s="230"/>
      <c r="D10" s="230"/>
      <c r="E10" s="230"/>
      <c r="F10" s="230"/>
      <c r="G10" s="230"/>
      <c r="H10" s="230"/>
      <c r="I10" s="230"/>
      <c r="J10" s="230"/>
      <c r="K10" s="230"/>
      <c r="L10" s="230"/>
    </row>
    <row r="11" spans="1:12" ht="13">
      <c r="A11" s="2"/>
      <c r="B11" s="83" t="s">
        <v>1484</v>
      </c>
      <c r="C11" s="230"/>
      <c r="D11" s="231"/>
      <c r="E11" s="232"/>
      <c r="F11" s="230"/>
      <c r="G11" s="230"/>
      <c r="H11" s="230"/>
      <c r="I11" s="230"/>
      <c r="J11" s="230"/>
      <c r="K11" s="99"/>
      <c r="L11" s="230"/>
    </row>
    <row r="12" spans="1:12" s="14" customFormat="1" ht="13">
      <c r="A12" s="109"/>
      <c r="B12" s="989" t="s">
        <v>2251</v>
      </c>
      <c r="C12" s="239"/>
      <c r="D12" s="935"/>
      <c r="E12" s="234"/>
      <c r="F12" s="239"/>
      <c r="G12" s="239"/>
      <c r="H12" s="239"/>
      <c r="I12" s="239"/>
      <c r="J12" s="239"/>
      <c r="K12" s="239"/>
      <c r="L12" s="239"/>
    </row>
    <row r="13" spans="1:12" ht="13">
      <c r="A13" s="53" t="s">
        <v>320</v>
      </c>
      <c r="B13" s="230"/>
      <c r="C13" s="83"/>
      <c r="D13" s="231"/>
      <c r="E13" s="232"/>
      <c r="F13" s="3"/>
      <c r="G13" s="230"/>
      <c r="H13" s="230"/>
      <c r="I13" s="230"/>
      <c r="J13" s="230"/>
      <c r="K13" s="230"/>
      <c r="L13" s="230"/>
    </row>
    <row r="14" spans="1:12" ht="13">
      <c r="A14" s="2">
        <f>A7+1</f>
        <v>1</v>
      </c>
      <c r="B14" s="230"/>
      <c r="C14" s="230"/>
      <c r="D14" s="500" t="s">
        <v>1482</v>
      </c>
      <c r="E14" s="234">
        <f>'4-TUTRR'!E73</f>
        <v>1031044751.7302366</v>
      </c>
      <c r="F14" s="501" t="s">
        <v>1780</v>
      </c>
      <c r="G14" s="239"/>
      <c r="H14" s="230" t="str">
        <f>"Line "&amp;'4-TUTRR'!A73&amp;""</f>
        <v>Line 46</v>
      </c>
      <c r="I14" s="230"/>
      <c r="J14" s="230"/>
      <c r="K14" s="230"/>
      <c r="L14" s="230"/>
    </row>
    <row r="15" spans="1:12" ht="13">
      <c r="A15" s="2">
        <f>A14+1</f>
        <v>2</v>
      </c>
      <c r="B15" s="83"/>
      <c r="C15" s="230"/>
      <c r="D15" s="230"/>
      <c r="E15" s="230"/>
      <c r="F15" s="230"/>
      <c r="G15" s="230"/>
      <c r="H15" s="232"/>
      <c r="I15" s="230"/>
      <c r="J15" s="230"/>
      <c r="K15" s="230"/>
      <c r="L15" s="230"/>
    </row>
    <row r="16" spans="1:12" ht="13">
      <c r="A16" s="2">
        <f t="shared" ref="A16:A50" si="0">A15+1</f>
        <v>3</v>
      </c>
      <c r="B16" s="230"/>
      <c r="C16" s="230"/>
      <c r="D16" s="84" t="s">
        <v>359</v>
      </c>
      <c r="E16" s="84" t="s">
        <v>343</v>
      </c>
      <c r="F16" s="84" t="s">
        <v>344</v>
      </c>
      <c r="G16" s="84" t="s">
        <v>345</v>
      </c>
      <c r="H16" s="84" t="s">
        <v>346</v>
      </c>
      <c r="I16" s="84" t="s">
        <v>347</v>
      </c>
      <c r="J16" s="84" t="s">
        <v>348</v>
      </c>
      <c r="K16" s="84" t="s">
        <v>537</v>
      </c>
      <c r="L16" s="84" t="s">
        <v>954</v>
      </c>
    </row>
    <row r="17" spans="1:12" ht="13">
      <c r="A17" s="2">
        <f t="shared" si="0"/>
        <v>4</v>
      </c>
      <c r="B17" s="230"/>
      <c r="C17" s="231" t="s">
        <v>955</v>
      </c>
      <c r="D17" s="84"/>
      <c r="E17" s="87" t="s">
        <v>211</v>
      </c>
      <c r="F17" s="87" t="s">
        <v>282</v>
      </c>
      <c r="G17" s="87" t="s">
        <v>956</v>
      </c>
      <c r="H17" s="94" t="s">
        <v>526</v>
      </c>
      <c r="I17" s="87" t="s">
        <v>957</v>
      </c>
      <c r="J17" s="87" t="s">
        <v>524</v>
      </c>
      <c r="K17" s="87" t="s">
        <v>525</v>
      </c>
      <c r="L17" s="94" t="s">
        <v>958</v>
      </c>
    </row>
    <row r="18" spans="1:12" ht="13">
      <c r="A18" s="2">
        <f t="shared" si="0"/>
        <v>5</v>
      </c>
      <c r="B18" s="230"/>
      <c r="C18" s="230"/>
      <c r="D18" s="84"/>
      <c r="G18" s="4" t="s">
        <v>2252</v>
      </c>
      <c r="I18" s="84"/>
      <c r="J18" s="2" t="s">
        <v>204</v>
      </c>
      <c r="K18" s="84"/>
      <c r="L18" s="84"/>
    </row>
    <row r="19" spans="1:12" ht="13">
      <c r="A19" s="2">
        <f t="shared" si="0"/>
        <v>6</v>
      </c>
      <c r="B19" s="230"/>
      <c r="C19" s="230"/>
      <c r="D19" s="84"/>
      <c r="G19" s="457" t="s">
        <v>2253</v>
      </c>
      <c r="I19" s="230"/>
      <c r="J19" s="2" t="s">
        <v>30</v>
      </c>
      <c r="K19" s="230"/>
      <c r="L19" s="2" t="s">
        <v>204</v>
      </c>
    </row>
    <row r="20" spans="1:12" ht="13">
      <c r="A20" s="2">
        <f t="shared" si="0"/>
        <v>7</v>
      </c>
      <c r="B20" s="230"/>
      <c r="C20" s="230"/>
      <c r="D20" s="84"/>
      <c r="F20" s="2" t="s">
        <v>503</v>
      </c>
      <c r="G20" s="572" t="s">
        <v>2254</v>
      </c>
      <c r="H20" s="2" t="s">
        <v>19</v>
      </c>
      <c r="I20" s="230"/>
      <c r="J20" s="2" t="s">
        <v>31</v>
      </c>
      <c r="K20" s="230"/>
      <c r="L20" s="2" t="s">
        <v>30</v>
      </c>
    </row>
    <row r="21" spans="1:12" ht="13">
      <c r="A21" s="2">
        <f t="shared" si="0"/>
        <v>8</v>
      </c>
      <c r="B21" s="230"/>
      <c r="C21" s="230"/>
      <c r="D21" s="2"/>
      <c r="E21" s="2" t="s">
        <v>19</v>
      </c>
      <c r="F21" s="2" t="s">
        <v>522</v>
      </c>
      <c r="G21" s="572" t="s">
        <v>2255</v>
      </c>
      <c r="H21" s="2" t="s">
        <v>30</v>
      </c>
      <c r="I21" s="2" t="s">
        <v>19</v>
      </c>
      <c r="J21" s="2" t="s">
        <v>22</v>
      </c>
      <c r="K21" s="233" t="s">
        <v>23</v>
      </c>
      <c r="L21" s="2" t="s">
        <v>31</v>
      </c>
    </row>
    <row r="22" spans="1:12" ht="13">
      <c r="A22" s="2">
        <f t="shared" si="0"/>
        <v>9</v>
      </c>
      <c r="B22" s="230"/>
      <c r="C22" s="230"/>
      <c r="D22" s="2"/>
      <c r="E22" s="2" t="s">
        <v>279</v>
      </c>
      <c r="F22" s="2" t="s">
        <v>307</v>
      </c>
      <c r="G22" s="572" t="s">
        <v>959</v>
      </c>
      <c r="H22" s="2" t="s">
        <v>31</v>
      </c>
      <c r="I22" s="2" t="s">
        <v>23</v>
      </c>
      <c r="J22" s="2" t="s">
        <v>1057</v>
      </c>
      <c r="K22" s="2" t="s">
        <v>1058</v>
      </c>
      <c r="L22" s="2" t="s">
        <v>22</v>
      </c>
    </row>
    <row r="23" spans="1:12" s="14" customFormat="1" ht="13">
      <c r="A23" s="109">
        <f t="shared" si="0"/>
        <v>10</v>
      </c>
      <c r="B23" s="239"/>
      <c r="C23" s="29" t="s">
        <v>192</v>
      </c>
      <c r="D23" s="29" t="s">
        <v>193</v>
      </c>
      <c r="E23" s="123" t="s">
        <v>960</v>
      </c>
      <c r="F23" s="123" t="s">
        <v>21</v>
      </c>
      <c r="G23" s="123" t="s">
        <v>2256</v>
      </c>
      <c r="H23" s="123" t="s">
        <v>22</v>
      </c>
      <c r="I23" s="123" t="s">
        <v>13</v>
      </c>
      <c r="J23" s="123" t="s">
        <v>1059</v>
      </c>
      <c r="K23" s="123" t="s">
        <v>192</v>
      </c>
      <c r="L23" s="123" t="s">
        <v>961</v>
      </c>
    </row>
    <row r="24" spans="1:12" s="1048" customFormat="1" ht="13">
      <c r="A24" s="572">
        <f>A23+1</f>
        <v>11</v>
      </c>
      <c r="B24" s="230"/>
      <c r="C24" s="510" t="s">
        <v>180</v>
      </c>
      <c r="D24" s="146">
        <v>2018</v>
      </c>
      <c r="E24" s="238" t="s">
        <v>76</v>
      </c>
      <c r="F24" s="238" t="s">
        <v>76</v>
      </c>
      <c r="G24" s="1325">
        <v>-234044756.22835258</v>
      </c>
      <c r="H24" s="232">
        <f>G24</f>
        <v>-234044756.22835258</v>
      </c>
      <c r="I24" s="238" t="s">
        <v>76</v>
      </c>
      <c r="J24" s="237">
        <f>H24</f>
        <v>-234044756.22835258</v>
      </c>
      <c r="K24" s="238" t="s">
        <v>76</v>
      </c>
      <c r="L24" s="1144">
        <f>J24</f>
        <v>-234044756.22835258</v>
      </c>
    </row>
    <row r="25" spans="1:12" ht="13">
      <c r="A25" s="572">
        <f t="shared" ref="A25:A36" si="1">A24+1</f>
        <v>12</v>
      </c>
      <c r="B25" s="230"/>
      <c r="C25" s="20" t="s">
        <v>181</v>
      </c>
      <c r="D25" s="146">
        <v>2019</v>
      </c>
      <c r="E25" s="234">
        <f>$E$14/12</f>
        <v>85920395.977519721</v>
      </c>
      <c r="F25" s="234">
        <f>C77</f>
        <v>91759834.939999998</v>
      </c>
      <c r="G25" s="1325">
        <v>56660.740091410924</v>
      </c>
      <c r="H25" s="234">
        <f>E25-F25+G25</f>
        <v>-5782778.2223888664</v>
      </c>
      <c r="I25" s="236">
        <v>4.3E-3</v>
      </c>
      <c r="J25" s="1353">
        <f>L24+H25</f>
        <v>-239827534.45074144</v>
      </c>
      <c r="K25" s="1353">
        <f>((L24+J25)/2)*I25</f>
        <v>-1018825.4249600521</v>
      </c>
      <c r="L25" s="1353">
        <f>J25+K25</f>
        <v>-240846359.87570149</v>
      </c>
    </row>
    <row r="26" spans="1:12" ht="13">
      <c r="A26" s="572">
        <f t="shared" si="1"/>
        <v>13</v>
      </c>
      <c r="B26" s="230"/>
      <c r="C26" s="21" t="s">
        <v>182</v>
      </c>
      <c r="D26" s="146">
        <v>2019</v>
      </c>
      <c r="E26" s="234">
        <f t="shared" ref="E26:E36" si="2">$E$14/12</f>
        <v>85920395.977519721</v>
      </c>
      <c r="F26" s="234">
        <f>C78</f>
        <v>64403396.609999999</v>
      </c>
      <c r="G26" s="526"/>
      <c r="H26" s="234">
        <f t="shared" ref="H26:H35" si="3">E26-F26+G26</f>
        <v>21516999.367519721</v>
      </c>
      <c r="I26" s="236">
        <v>4.3E-3</v>
      </c>
      <c r="J26" s="1353">
        <f>L25+H26</f>
        <v>-219329360.50818175</v>
      </c>
      <c r="K26" s="1353">
        <f>((L25+J26)/2)*I26</f>
        <v>-989377.79882534896</v>
      </c>
      <c r="L26" s="1353">
        <f t="shared" ref="L26:L36" si="4">J26+K26</f>
        <v>-220318738.3070071</v>
      </c>
    </row>
    <row r="27" spans="1:12" ht="13">
      <c r="A27" s="572">
        <f t="shared" si="1"/>
        <v>14</v>
      </c>
      <c r="B27" s="230"/>
      <c r="C27" s="21" t="s">
        <v>195</v>
      </c>
      <c r="D27" s="146">
        <v>2019</v>
      </c>
      <c r="E27" s="234">
        <f t="shared" si="2"/>
        <v>85920395.977519721</v>
      </c>
      <c r="F27" s="234">
        <f t="shared" ref="F27:F36" si="5">C79</f>
        <v>84749269.680000007</v>
      </c>
      <c r="G27" s="526"/>
      <c r="H27" s="234">
        <f t="shared" si="3"/>
        <v>1171126.2975197136</v>
      </c>
      <c r="I27" s="236">
        <v>4.3E-3</v>
      </c>
      <c r="J27" s="1353">
        <f t="shared" ref="J27:J36" si="6">L26+H27</f>
        <v>-219147612.00948739</v>
      </c>
      <c r="K27" s="1353">
        <f t="shared" ref="K27:K36" si="7">((L26+J27)/2)*I27</f>
        <v>-944852.65318046312</v>
      </c>
      <c r="L27" s="1353">
        <f t="shared" si="4"/>
        <v>-220092464.66266784</v>
      </c>
    </row>
    <row r="28" spans="1:12" ht="13">
      <c r="A28" s="572">
        <f t="shared" si="1"/>
        <v>15</v>
      </c>
      <c r="B28" s="230"/>
      <c r="C28" s="20" t="s">
        <v>183</v>
      </c>
      <c r="D28" s="146">
        <v>2019</v>
      </c>
      <c r="E28" s="234">
        <f t="shared" si="2"/>
        <v>85920395.977519721</v>
      </c>
      <c r="F28" s="234">
        <f t="shared" si="5"/>
        <v>67988952.049999997</v>
      </c>
      <c r="G28" s="526"/>
      <c r="H28" s="234">
        <f t="shared" si="3"/>
        <v>17931443.927519724</v>
      </c>
      <c r="I28" s="236">
        <v>4.4999999999999997E-3</v>
      </c>
      <c r="J28" s="1353">
        <f t="shared" si="6"/>
        <v>-202161020.73514813</v>
      </c>
      <c r="K28" s="1353">
        <f t="shared" si="7"/>
        <v>-950070.3421450858</v>
      </c>
      <c r="L28" s="1353">
        <f t="shared" si="4"/>
        <v>-203111091.07729322</v>
      </c>
    </row>
    <row r="29" spans="1:12" ht="13">
      <c r="A29" s="572">
        <f t="shared" si="1"/>
        <v>16</v>
      </c>
      <c r="B29" s="230"/>
      <c r="C29" s="21" t="s">
        <v>184</v>
      </c>
      <c r="D29" s="146">
        <v>2019</v>
      </c>
      <c r="E29" s="234">
        <f t="shared" si="2"/>
        <v>85920395.977519721</v>
      </c>
      <c r="F29" s="234">
        <f t="shared" si="5"/>
        <v>93530168.849999994</v>
      </c>
      <c r="G29" s="526"/>
      <c r="H29" s="234">
        <f t="shared" si="3"/>
        <v>-7609772.8724802732</v>
      </c>
      <c r="I29" s="236">
        <v>4.4999999999999997E-3</v>
      </c>
      <c r="J29" s="1353">
        <f t="shared" si="6"/>
        <v>-210720863.94977349</v>
      </c>
      <c r="K29" s="1353">
        <f t="shared" si="7"/>
        <v>-931121.89881090005</v>
      </c>
      <c r="L29" s="1353">
        <f t="shared" si="4"/>
        <v>-211651985.84858438</v>
      </c>
    </row>
    <row r="30" spans="1:12" ht="13">
      <c r="A30" s="572">
        <f t="shared" si="1"/>
        <v>17</v>
      </c>
      <c r="B30" s="230"/>
      <c r="C30" s="21" t="s">
        <v>185</v>
      </c>
      <c r="D30" s="146">
        <v>2019</v>
      </c>
      <c r="E30" s="234">
        <f t="shared" si="2"/>
        <v>85920395.977519721</v>
      </c>
      <c r="F30" s="234">
        <f t="shared" si="5"/>
        <v>82893261.829999998</v>
      </c>
      <c r="G30" s="526"/>
      <c r="H30" s="234">
        <f t="shared" si="3"/>
        <v>3027134.1475197226</v>
      </c>
      <c r="I30" s="236">
        <v>4.4999999999999997E-3</v>
      </c>
      <c r="J30" s="1353">
        <f t="shared" si="6"/>
        <v>-208624851.70106465</v>
      </c>
      <c r="K30" s="1353">
        <f t="shared" si="7"/>
        <v>-945622.88448671019</v>
      </c>
      <c r="L30" s="1353">
        <f t="shared" si="4"/>
        <v>-209570474.58555135</v>
      </c>
    </row>
    <row r="31" spans="1:12" ht="13">
      <c r="A31" s="572">
        <f t="shared" si="1"/>
        <v>18</v>
      </c>
      <c r="B31" s="230"/>
      <c r="C31" s="20" t="s">
        <v>186</v>
      </c>
      <c r="D31" s="146">
        <v>2019</v>
      </c>
      <c r="E31" s="234">
        <f t="shared" si="2"/>
        <v>85920395.977519721</v>
      </c>
      <c r="F31" s="234">
        <f t="shared" si="5"/>
        <v>105351358.22</v>
      </c>
      <c r="G31" s="526"/>
      <c r="H31" s="234">
        <f t="shared" si="3"/>
        <v>-19430962.242480278</v>
      </c>
      <c r="I31" s="236">
        <v>4.5999999999999999E-3</v>
      </c>
      <c r="J31" s="1353">
        <f t="shared" si="6"/>
        <v>-229001436.82803163</v>
      </c>
      <c r="K31" s="1353">
        <f t="shared" si="7"/>
        <v>-1008715.3962512409</v>
      </c>
      <c r="L31" s="1353">
        <f t="shared" si="4"/>
        <v>-230010152.22428286</v>
      </c>
    </row>
    <row r="32" spans="1:12" ht="13">
      <c r="A32" s="572">
        <f t="shared" si="1"/>
        <v>19</v>
      </c>
      <c r="B32" s="230"/>
      <c r="C32" s="21" t="s">
        <v>187</v>
      </c>
      <c r="D32" s="146">
        <v>2019</v>
      </c>
      <c r="E32" s="234">
        <f t="shared" si="2"/>
        <v>85920395.977519721</v>
      </c>
      <c r="F32" s="234">
        <f t="shared" si="5"/>
        <v>114937290.89</v>
      </c>
      <c r="G32" s="526"/>
      <c r="H32" s="234">
        <f t="shared" si="3"/>
        <v>-29016894.91248028</v>
      </c>
      <c r="I32" s="236">
        <v>4.5999999999999999E-3</v>
      </c>
      <c r="J32" s="1353">
        <f t="shared" si="6"/>
        <v>-259027047.13676316</v>
      </c>
      <c r="K32" s="1353">
        <f t="shared" si="7"/>
        <v>-1124785.5585304059</v>
      </c>
      <c r="L32" s="1353">
        <f t="shared" si="4"/>
        <v>-260151832.69529358</v>
      </c>
    </row>
    <row r="33" spans="1:12" ht="13">
      <c r="A33" s="572">
        <f t="shared" si="1"/>
        <v>20</v>
      </c>
      <c r="B33" s="230"/>
      <c r="C33" s="21" t="s">
        <v>188</v>
      </c>
      <c r="D33" s="146">
        <v>2019</v>
      </c>
      <c r="E33" s="234">
        <f t="shared" si="2"/>
        <v>85920395.977519721</v>
      </c>
      <c r="F33" s="234">
        <f t="shared" si="5"/>
        <v>83261682.019999996</v>
      </c>
      <c r="G33" s="526"/>
      <c r="H33" s="234">
        <f t="shared" si="3"/>
        <v>2658713.957519725</v>
      </c>
      <c r="I33" s="236">
        <v>4.5999999999999999E-3</v>
      </c>
      <c r="J33" s="1353">
        <f t="shared" si="6"/>
        <v>-257493118.73777384</v>
      </c>
      <c r="K33" s="1353">
        <f t="shared" si="7"/>
        <v>-1190583.3882960551</v>
      </c>
      <c r="L33" s="1353">
        <f t="shared" si="4"/>
        <v>-258683702.1260699</v>
      </c>
    </row>
    <row r="34" spans="1:12" ht="13">
      <c r="A34" s="572">
        <f t="shared" si="1"/>
        <v>21</v>
      </c>
      <c r="B34" s="230"/>
      <c r="C34" s="20" t="s">
        <v>191</v>
      </c>
      <c r="D34" s="146">
        <v>2019</v>
      </c>
      <c r="E34" s="234">
        <f t="shared" si="2"/>
        <v>85920395.977519721</v>
      </c>
      <c r="F34" s="234">
        <f t="shared" si="5"/>
        <v>88300708.25</v>
      </c>
      <c r="G34" s="526"/>
      <c r="H34" s="234">
        <f t="shared" si="3"/>
        <v>-2380312.2724802792</v>
      </c>
      <c r="I34" s="236">
        <v>4.4999999999999997E-3</v>
      </c>
      <c r="J34" s="1353">
        <f t="shared" si="6"/>
        <v>-261064014.39855018</v>
      </c>
      <c r="K34" s="1353">
        <f t="shared" si="7"/>
        <v>-1169432.3621803951</v>
      </c>
      <c r="L34" s="1353">
        <f t="shared" si="4"/>
        <v>-262233446.76073056</v>
      </c>
    </row>
    <row r="35" spans="1:12" ht="13">
      <c r="A35" s="572">
        <f t="shared" si="1"/>
        <v>22</v>
      </c>
      <c r="B35" s="230"/>
      <c r="C35" s="20" t="s">
        <v>190</v>
      </c>
      <c r="D35" s="146">
        <v>2019</v>
      </c>
      <c r="E35" s="234">
        <f t="shared" si="2"/>
        <v>85920395.977519721</v>
      </c>
      <c r="F35" s="234">
        <f t="shared" si="5"/>
        <v>66473158.030000001</v>
      </c>
      <c r="G35" s="526"/>
      <c r="H35" s="234">
        <f t="shared" si="3"/>
        <v>19447237.94751972</v>
      </c>
      <c r="I35" s="236">
        <v>4.4999999999999997E-3</v>
      </c>
      <c r="J35" s="1353">
        <f t="shared" si="6"/>
        <v>-242786208.81321084</v>
      </c>
      <c r="K35" s="1353">
        <f t="shared" si="7"/>
        <v>-1136294.225041368</v>
      </c>
      <c r="L35" s="1353">
        <f t="shared" si="4"/>
        <v>-243922503.0382522</v>
      </c>
    </row>
    <row r="36" spans="1:12" ht="13">
      <c r="A36" s="572">
        <f t="shared" si="1"/>
        <v>23</v>
      </c>
      <c r="B36" s="230"/>
      <c r="C36" s="21" t="s">
        <v>180</v>
      </c>
      <c r="D36" s="146">
        <v>2019</v>
      </c>
      <c r="E36" s="234">
        <f t="shared" si="2"/>
        <v>85920395.977519721</v>
      </c>
      <c r="F36" s="234">
        <f t="shared" si="5"/>
        <v>99572808.420000002</v>
      </c>
      <c r="G36" s="1349">
        <v>5882846.7442419995</v>
      </c>
      <c r="H36" s="234">
        <f>E36-F36+G36</f>
        <v>-7769565.6982382815</v>
      </c>
      <c r="I36" s="236">
        <v>4.4999999999999997E-3</v>
      </c>
      <c r="J36" s="1353">
        <f t="shared" si="6"/>
        <v>-251692068.73649049</v>
      </c>
      <c r="K36" s="1353">
        <f t="shared" si="7"/>
        <v>-1115132.786493171</v>
      </c>
      <c r="L36" s="1353">
        <f t="shared" si="4"/>
        <v>-252807201.52298367</v>
      </c>
    </row>
    <row r="37" spans="1:12" ht="13">
      <c r="A37" s="109"/>
      <c r="B37" s="230"/>
      <c r="C37" s="21"/>
      <c r="D37" s="24"/>
      <c r="E37" s="230"/>
      <c r="F37" s="243"/>
      <c r="G37" s="240"/>
      <c r="H37" s="377"/>
      <c r="I37" s="230"/>
      <c r="J37" s="230"/>
      <c r="K37" s="230"/>
      <c r="L37" s="230"/>
    </row>
    <row r="38" spans="1:12" s="14" customFormat="1" ht="13">
      <c r="A38" s="109">
        <f>A36+1</f>
        <v>24</v>
      </c>
      <c r="B38" s="44" t="s">
        <v>490</v>
      </c>
      <c r="C38" s="21"/>
      <c r="D38" s="24"/>
      <c r="E38" s="239"/>
      <c r="F38" s="475"/>
      <c r="G38" s="240"/>
      <c r="H38" s="955"/>
      <c r="I38" s="239"/>
      <c r="J38" s="239"/>
      <c r="K38" s="239"/>
      <c r="L38" s="239"/>
    </row>
    <row r="39" spans="1:12" ht="13">
      <c r="A39" s="109">
        <f t="shared" si="0"/>
        <v>25</v>
      </c>
      <c r="B39" s="1"/>
      <c r="C39" s="21"/>
      <c r="D39" s="24"/>
      <c r="E39" s="230"/>
      <c r="F39" s="507" t="s">
        <v>230</v>
      </c>
      <c r="G39" s="240"/>
      <c r="H39" s="243"/>
      <c r="I39" s="230"/>
      <c r="J39" s="230"/>
      <c r="K39" s="230"/>
      <c r="L39" s="230"/>
    </row>
    <row r="40" spans="1:12" ht="13">
      <c r="A40" s="109">
        <f t="shared" si="0"/>
        <v>26</v>
      </c>
      <c r="B40" s="230"/>
      <c r="C40" s="21"/>
      <c r="D40" s="231" t="s">
        <v>1062</v>
      </c>
      <c r="E40" s="234">
        <f>L36</f>
        <v>-252807201.52298367</v>
      </c>
      <c r="F40" s="475" t="str">
        <f>"Line "&amp;A36&amp;", Column 9"</f>
        <v>Line 23, Column 9</v>
      </c>
      <c r="G40" s="240"/>
      <c r="H40" s="243"/>
      <c r="I40" s="230"/>
      <c r="J40" s="230"/>
      <c r="K40" s="230"/>
      <c r="L40" s="230"/>
    </row>
    <row r="41" spans="1:12" s="1048" customFormat="1" ht="13">
      <c r="A41" s="109">
        <f t="shared" si="0"/>
        <v>27</v>
      </c>
      <c r="B41" s="230"/>
      <c r="C41" s="21"/>
      <c r="D41" s="474" t="s">
        <v>2257</v>
      </c>
      <c r="E41" s="1325">
        <v>-184210609.10000873</v>
      </c>
      <c r="F41" s="475" t="str">
        <f>"Previous Annual Update Schedule 3, Line "&amp;A44&amp;""</f>
        <v>Previous Annual Update Schedule 3, Line 30</v>
      </c>
      <c r="G41" s="240"/>
      <c r="H41" s="243"/>
      <c r="J41" s="231" t="s">
        <v>2445</v>
      </c>
      <c r="K41" s="1051" t="s">
        <v>2806</v>
      </c>
      <c r="L41" s="1051"/>
    </row>
    <row r="42" spans="1:12" s="1048" customFormat="1" ht="13">
      <c r="A42" s="109">
        <f t="shared" si="0"/>
        <v>28</v>
      </c>
      <c r="B42" s="230"/>
      <c r="C42" s="21"/>
      <c r="D42" s="474" t="s">
        <v>2258</v>
      </c>
      <c r="E42" s="1351">
        <f>E40-E41</f>
        <v>-68596592.422974944</v>
      </c>
      <c r="F42" s="475" t="str">
        <f>"Line "&amp;A40&amp;" - Line "&amp;A41&amp;""</f>
        <v>Line 26 - Line 27</v>
      </c>
      <c r="G42" s="240"/>
      <c r="H42" s="243"/>
      <c r="J42" s="475"/>
      <c r="K42" s="1051"/>
      <c r="L42" s="1051"/>
    </row>
    <row r="43" spans="1:12" s="1048" customFormat="1" ht="14">
      <c r="A43" s="109">
        <f t="shared" si="0"/>
        <v>29</v>
      </c>
      <c r="B43" s="230"/>
      <c r="C43" s="21"/>
      <c r="D43" s="474" t="s">
        <v>2259</v>
      </c>
      <c r="E43" s="1352">
        <f>E42*I36*18</f>
        <v>-5556323.9862609701</v>
      </c>
      <c r="F43" s="475" t="str">
        <f>"Line "&amp;A42&amp;" * (Line "&amp;A36&amp;", Column 6) * 18 months"</f>
        <v>Line 28 * (Line 23, Column 6) * 18 months</v>
      </c>
      <c r="G43" s="240"/>
      <c r="H43" s="243"/>
      <c r="I43" s="475"/>
      <c r="J43" s="230"/>
      <c r="K43" s="1285"/>
      <c r="L43" s="230"/>
    </row>
    <row r="44" spans="1:12" s="14" customFormat="1" ht="13">
      <c r="A44" s="109">
        <f t="shared" si="0"/>
        <v>30</v>
      </c>
      <c r="B44" s="239"/>
      <c r="C44" s="21"/>
      <c r="D44" s="85" t="s">
        <v>32</v>
      </c>
      <c r="E44" s="234">
        <f>E42+E43</f>
        <v>-74152916.40923591</v>
      </c>
      <c r="F44" s="1145" t="str">
        <f>"Line "&amp;A42&amp;" + Line "&amp;A43&amp;".  Positive amount is to be collected by SCE (included in Base TRR as a positive amount)."</f>
        <v>Line 28 + Line 29.  Positive amount is to be collected by SCE (included in Base TRR as a positive amount).</v>
      </c>
      <c r="G44" s="240"/>
      <c r="H44" s="955"/>
      <c r="I44" s="239"/>
      <c r="J44" s="239"/>
      <c r="K44" s="239"/>
      <c r="L44" s="239"/>
    </row>
    <row r="45" spans="1:12" ht="13">
      <c r="A45" s="109">
        <f t="shared" si="0"/>
        <v>31</v>
      </c>
      <c r="B45" s="230"/>
      <c r="C45" s="230"/>
      <c r="D45" s="230"/>
      <c r="E45" s="230"/>
      <c r="F45" s="506" t="s">
        <v>1530</v>
      </c>
      <c r="G45" s="230"/>
      <c r="H45" s="230"/>
      <c r="I45" s="230"/>
      <c r="J45" s="230"/>
      <c r="K45" s="230"/>
      <c r="L45" s="230"/>
    </row>
    <row r="46" spans="1:12" ht="13">
      <c r="A46" s="109">
        <f t="shared" si="0"/>
        <v>32</v>
      </c>
      <c r="B46" s="1" t="s">
        <v>963</v>
      </c>
      <c r="C46" s="230"/>
      <c r="D46" s="230"/>
      <c r="E46" s="230"/>
      <c r="F46" s="245"/>
      <c r="G46" s="230"/>
      <c r="H46" s="230"/>
      <c r="I46" s="230"/>
      <c r="J46" s="230"/>
      <c r="K46" s="230"/>
      <c r="L46" s="230"/>
    </row>
    <row r="47" spans="1:12" ht="13">
      <c r="A47" s="109">
        <f t="shared" si="0"/>
        <v>33</v>
      </c>
      <c r="B47" s="13" t="s">
        <v>367</v>
      </c>
      <c r="C47" s="230"/>
      <c r="D47" s="230"/>
      <c r="E47" s="230"/>
      <c r="F47" s="230"/>
      <c r="G47" s="230"/>
      <c r="H47" s="230"/>
      <c r="I47" s="230"/>
      <c r="J47" s="230"/>
      <c r="K47" s="230"/>
      <c r="L47" s="230"/>
    </row>
    <row r="48" spans="1:12" ht="13">
      <c r="A48" s="109">
        <f t="shared" si="0"/>
        <v>34</v>
      </c>
      <c r="B48" s="13" t="s">
        <v>368</v>
      </c>
      <c r="C48" s="230"/>
      <c r="D48" s="230"/>
      <c r="E48" s="230"/>
      <c r="F48" s="230"/>
      <c r="G48" s="230"/>
      <c r="H48" s="230"/>
      <c r="I48" s="230"/>
      <c r="J48" s="230"/>
      <c r="K48" s="230"/>
      <c r="L48" s="230"/>
    </row>
    <row r="49" spans="1:12" ht="13">
      <c r="A49" s="109">
        <f t="shared" si="0"/>
        <v>35</v>
      </c>
      <c r="B49" s="13" t="s">
        <v>369</v>
      </c>
      <c r="C49" s="230"/>
      <c r="D49" s="230"/>
      <c r="E49" s="230"/>
      <c r="F49" s="230"/>
      <c r="G49" s="230"/>
      <c r="H49" s="230"/>
      <c r="I49" s="230"/>
      <c r="J49" s="230"/>
      <c r="K49" s="230"/>
      <c r="L49" s="230"/>
    </row>
    <row r="50" spans="1:12" ht="13">
      <c r="A50" s="109">
        <f t="shared" si="0"/>
        <v>36</v>
      </c>
      <c r="B50" s="230"/>
      <c r="C50" s="230"/>
      <c r="D50" s="230"/>
      <c r="E50" s="230"/>
      <c r="F50" s="230"/>
      <c r="G50" s="230"/>
      <c r="H50" s="230"/>
      <c r="I50" s="230"/>
      <c r="J50" s="230"/>
      <c r="K50" s="230"/>
      <c r="L50" s="230"/>
    </row>
    <row r="51" spans="1:12" ht="13">
      <c r="A51" s="109">
        <f t="shared" ref="A51:A91" si="8">A50+1</f>
        <v>37</v>
      </c>
      <c r="B51" s="1" t="s">
        <v>1200</v>
      </c>
      <c r="C51" s="230"/>
      <c r="D51" s="230"/>
      <c r="E51" s="230"/>
      <c r="F51" s="230"/>
      <c r="G51" s="230"/>
      <c r="H51" s="230"/>
      <c r="I51" s="230"/>
      <c r="J51" s="230"/>
      <c r="K51" s="230"/>
      <c r="L51" s="230"/>
    </row>
    <row r="52" spans="1:12" ht="13">
      <c r="A52" s="109">
        <f t="shared" si="8"/>
        <v>38</v>
      </c>
      <c r="B52" s="230"/>
      <c r="C52" s="230"/>
      <c r="D52" s="233" t="s">
        <v>1153</v>
      </c>
      <c r="E52" s="230"/>
      <c r="G52" s="230"/>
      <c r="H52" s="230"/>
      <c r="I52" s="230"/>
      <c r="J52" s="230"/>
      <c r="K52" s="230"/>
      <c r="L52" s="230"/>
    </row>
    <row r="53" spans="1:12" ht="13">
      <c r="A53" s="109">
        <f t="shared" si="8"/>
        <v>39</v>
      </c>
      <c r="B53" s="230"/>
      <c r="C53" s="25" t="s">
        <v>192</v>
      </c>
      <c r="D53" s="3" t="s">
        <v>1063</v>
      </c>
      <c r="E53" s="3" t="s">
        <v>236</v>
      </c>
      <c r="G53" s="239"/>
      <c r="H53" s="239"/>
      <c r="I53" s="239"/>
      <c r="J53" s="239"/>
      <c r="K53" s="239"/>
      <c r="L53" s="239"/>
    </row>
    <row r="54" spans="1:12" ht="13">
      <c r="A54" s="109">
        <f t="shared" si="8"/>
        <v>40</v>
      </c>
      <c r="B54" s="230"/>
      <c r="C54" s="20" t="s">
        <v>181</v>
      </c>
      <c r="D54" s="124">
        <v>6.3763211440757639E-2</v>
      </c>
      <c r="E54" s="13" t="s">
        <v>1206</v>
      </c>
      <c r="G54" s="239"/>
      <c r="H54" s="239"/>
      <c r="I54" s="239"/>
      <c r="J54" s="239"/>
      <c r="K54" s="239"/>
      <c r="L54" s="239"/>
    </row>
    <row r="55" spans="1:12" ht="13">
      <c r="A55" s="109">
        <f t="shared" si="8"/>
        <v>41</v>
      </c>
      <c r="B55" s="230"/>
      <c r="C55" s="21" t="s">
        <v>182</v>
      </c>
      <c r="D55" s="124">
        <v>5.6553289888256801E-2</v>
      </c>
      <c r="G55" s="239"/>
      <c r="H55" s="239"/>
      <c r="I55" s="239"/>
      <c r="J55" s="239"/>
      <c r="K55" s="239"/>
      <c r="L55" s="239"/>
    </row>
    <row r="56" spans="1:12" ht="13">
      <c r="A56" s="109">
        <f t="shared" si="8"/>
        <v>42</v>
      </c>
      <c r="B56" s="230"/>
      <c r="C56" s="21" t="s">
        <v>195</v>
      </c>
      <c r="D56" s="124">
        <v>7.1828142218240867E-2</v>
      </c>
      <c r="E56" s="13"/>
      <c r="G56" s="239"/>
      <c r="H56" s="239"/>
      <c r="I56" s="239"/>
      <c r="J56" s="239"/>
      <c r="K56" s="239"/>
      <c r="L56" s="239"/>
    </row>
    <row r="57" spans="1:12" ht="13">
      <c r="A57" s="109">
        <f t="shared" si="8"/>
        <v>43</v>
      </c>
      <c r="B57" s="230"/>
      <c r="C57" s="20" t="s">
        <v>183</v>
      </c>
      <c r="D57" s="124">
        <v>8.2236801934806855E-2</v>
      </c>
      <c r="E57" s="147"/>
      <c r="G57" s="239"/>
      <c r="H57" s="239"/>
      <c r="I57" s="239"/>
      <c r="J57" s="239"/>
      <c r="K57" s="239"/>
      <c r="L57" s="239"/>
    </row>
    <row r="58" spans="1:12" ht="13">
      <c r="A58" s="109">
        <f t="shared" si="8"/>
        <v>44</v>
      </c>
      <c r="B58" s="230"/>
      <c r="C58" s="21" t="s">
        <v>184</v>
      </c>
      <c r="D58" s="124">
        <v>8.01837425905748E-2</v>
      </c>
      <c r="E58" s="246"/>
      <c r="G58" s="239"/>
      <c r="H58" s="239"/>
      <c r="I58" s="239"/>
      <c r="J58" s="239"/>
      <c r="K58" s="239"/>
      <c r="L58" s="239"/>
    </row>
    <row r="59" spans="1:12" ht="13">
      <c r="A59" s="109">
        <f t="shared" si="8"/>
        <v>45</v>
      </c>
      <c r="B59" s="230"/>
      <c r="C59" s="21" t="s">
        <v>185</v>
      </c>
      <c r="D59" s="124">
        <v>8.9450501877561497E-2</v>
      </c>
      <c r="E59" s="246"/>
      <c r="G59" s="239"/>
      <c r="H59" s="239"/>
      <c r="I59" s="239"/>
      <c r="J59" s="239"/>
      <c r="K59" s="239"/>
      <c r="L59" s="239"/>
    </row>
    <row r="60" spans="1:12" ht="13">
      <c r="A60" s="109">
        <f t="shared" si="8"/>
        <v>46</v>
      </c>
      <c r="B60" s="230"/>
      <c r="C60" s="20" t="s">
        <v>186</v>
      </c>
      <c r="D60" s="124">
        <v>9.8908415854749826E-2</v>
      </c>
      <c r="E60" s="246"/>
      <c r="G60" s="239"/>
      <c r="H60" s="239"/>
      <c r="I60" s="239"/>
      <c r="J60" s="239"/>
      <c r="K60" s="239"/>
      <c r="L60" s="239"/>
    </row>
    <row r="61" spans="1:12" ht="13">
      <c r="A61" s="109">
        <f t="shared" si="8"/>
        <v>47</v>
      </c>
      <c r="B61" s="230"/>
      <c r="C61" s="21" t="s">
        <v>187</v>
      </c>
      <c r="D61" s="124">
        <v>0.10141004323318151</v>
      </c>
      <c r="E61" s="246"/>
      <c r="G61" s="239"/>
      <c r="H61" s="239"/>
      <c r="I61" s="239"/>
      <c r="J61" s="239"/>
      <c r="K61" s="239"/>
      <c r="L61" s="239"/>
    </row>
    <row r="62" spans="1:12" ht="13">
      <c r="A62" s="109">
        <f t="shared" si="8"/>
        <v>48</v>
      </c>
      <c r="B62" s="230"/>
      <c r="C62" s="21" t="s">
        <v>188</v>
      </c>
      <c r="D62" s="124">
        <v>0.10217900008822713</v>
      </c>
      <c r="E62" s="246"/>
      <c r="G62" s="239"/>
      <c r="H62" s="239"/>
      <c r="I62" s="239"/>
      <c r="J62" s="239"/>
      <c r="K62" s="239"/>
      <c r="L62" s="239"/>
    </row>
    <row r="63" spans="1:12" ht="13">
      <c r="A63" s="109">
        <f t="shared" si="8"/>
        <v>49</v>
      </c>
      <c r="B63" s="230"/>
      <c r="C63" s="20" t="s">
        <v>191</v>
      </c>
      <c r="D63" s="124">
        <v>9.1787269171678454E-2</v>
      </c>
      <c r="E63" s="246"/>
      <c r="G63" s="239"/>
      <c r="H63" s="239"/>
      <c r="I63" s="239"/>
      <c r="J63" s="239"/>
      <c r="K63" s="239"/>
      <c r="L63" s="239"/>
    </row>
    <row r="64" spans="1:12" ht="13">
      <c r="A64" s="109">
        <f t="shared" si="8"/>
        <v>50</v>
      </c>
      <c r="B64" s="230"/>
      <c r="C64" s="20" t="s">
        <v>190</v>
      </c>
      <c r="D64" s="124">
        <v>7.5296938318149625E-2</v>
      </c>
      <c r="E64" s="246"/>
      <c r="G64" s="230"/>
      <c r="H64" s="230"/>
      <c r="I64" s="230"/>
      <c r="J64" s="230"/>
      <c r="K64" s="230"/>
      <c r="L64" s="230"/>
    </row>
    <row r="65" spans="1:16" ht="13">
      <c r="A65" s="109">
        <f t="shared" si="8"/>
        <v>51</v>
      </c>
      <c r="B65" s="230"/>
      <c r="C65" s="21" t="s">
        <v>180</v>
      </c>
      <c r="D65" s="378">
        <v>8.640264338381512E-2</v>
      </c>
      <c r="E65" s="151"/>
      <c r="G65" s="230"/>
      <c r="H65" s="230"/>
      <c r="I65" s="230"/>
      <c r="J65" s="230"/>
      <c r="K65" s="230"/>
      <c r="L65" s="230"/>
    </row>
    <row r="66" spans="1:16" ht="13">
      <c r="A66" s="109">
        <f t="shared" si="8"/>
        <v>52</v>
      </c>
      <c r="B66" s="230"/>
      <c r="C66" s="34" t="s">
        <v>4</v>
      </c>
      <c r="D66" s="391">
        <f>SUM(D54:D65)</f>
        <v>1.0000000000000002</v>
      </c>
      <c r="E66" s="230"/>
      <c r="G66" s="230"/>
      <c r="H66" s="230"/>
      <c r="I66" s="230"/>
      <c r="J66" s="230"/>
      <c r="K66" s="230"/>
      <c r="L66" s="230"/>
    </row>
    <row r="67" spans="1:16" s="14" customFormat="1" ht="13">
      <c r="A67" s="109">
        <f t="shared" si="8"/>
        <v>53</v>
      </c>
      <c r="B67" s="239"/>
      <c r="C67" s="239"/>
      <c r="D67" s="239"/>
      <c r="E67" s="239"/>
      <c r="F67" s="109"/>
      <c r="G67" s="239"/>
      <c r="H67" s="239"/>
      <c r="I67" s="239"/>
      <c r="J67" s="239"/>
      <c r="K67" s="239"/>
      <c r="L67" s="239"/>
    </row>
    <row r="68" spans="1:16" ht="13">
      <c r="A68" s="109">
        <f t="shared" si="8"/>
        <v>54</v>
      </c>
      <c r="B68" s="1" t="s">
        <v>2260</v>
      </c>
      <c r="C68" s="230"/>
      <c r="D68" s="230"/>
      <c r="E68" s="230"/>
      <c r="F68" s="2"/>
      <c r="G68" s="230"/>
      <c r="H68" s="230"/>
      <c r="I68" s="230"/>
      <c r="J68" s="230"/>
      <c r="K68" s="230"/>
      <c r="L68" s="230"/>
    </row>
    <row r="69" spans="1:16" ht="13">
      <c r="A69" s="109">
        <f t="shared" si="8"/>
        <v>55</v>
      </c>
      <c r="B69" s="230"/>
      <c r="C69" s="230"/>
      <c r="D69" s="230"/>
      <c r="E69" s="230"/>
      <c r="F69" s="2"/>
      <c r="G69" s="230"/>
      <c r="H69" s="230"/>
      <c r="I69" s="230"/>
      <c r="J69" s="230"/>
      <c r="K69" s="230"/>
      <c r="L69" s="230"/>
    </row>
    <row r="70" spans="1:16" ht="13">
      <c r="A70" s="109">
        <f t="shared" si="8"/>
        <v>56</v>
      </c>
      <c r="B70" s="230"/>
      <c r="C70" s="84" t="s">
        <v>359</v>
      </c>
      <c r="D70" s="84" t="s">
        <v>343</v>
      </c>
      <c r="E70" s="84" t="s">
        <v>344</v>
      </c>
      <c r="F70" s="84" t="s">
        <v>345</v>
      </c>
      <c r="G70" s="84" t="s">
        <v>346</v>
      </c>
      <c r="H70" s="84" t="s">
        <v>347</v>
      </c>
      <c r="I70" s="84" t="s">
        <v>348</v>
      </c>
      <c r="J70" s="230"/>
    </row>
    <row r="71" spans="1:16" ht="13">
      <c r="A71" s="109">
        <f t="shared" si="8"/>
        <v>57</v>
      </c>
      <c r="B71" s="230"/>
      <c r="C71" s="477" t="s">
        <v>1060</v>
      </c>
      <c r="D71" s="477" t="s">
        <v>1061</v>
      </c>
      <c r="E71" s="84"/>
      <c r="F71" s="84"/>
      <c r="G71" s="84"/>
      <c r="H71" s="84"/>
      <c r="I71" s="87" t="s">
        <v>528</v>
      </c>
      <c r="J71" s="230"/>
      <c r="K71" s="230"/>
      <c r="L71" s="230"/>
    </row>
    <row r="72" spans="1:16" ht="13">
      <c r="A72" s="109">
        <f t="shared" si="8"/>
        <v>58</v>
      </c>
      <c r="B72" s="230"/>
      <c r="C72" s="230"/>
      <c r="D72" s="230"/>
      <c r="E72" s="230"/>
      <c r="F72" s="2"/>
      <c r="G72" s="230"/>
      <c r="H72" s="230"/>
      <c r="I72" s="230"/>
      <c r="J72" s="230"/>
      <c r="K72" s="394"/>
      <c r="L72" s="230"/>
    </row>
    <row r="73" spans="1:16" ht="13">
      <c r="A73" s="109">
        <f t="shared" si="8"/>
        <v>59</v>
      </c>
      <c r="B73" s="230"/>
      <c r="C73" s="2" t="s">
        <v>503</v>
      </c>
      <c r="D73" s="230"/>
      <c r="E73" s="230"/>
      <c r="F73" s="2"/>
      <c r="G73" s="230"/>
      <c r="H73" s="230"/>
      <c r="I73" s="2" t="s">
        <v>19</v>
      </c>
      <c r="J73" s="230"/>
      <c r="K73" s="494"/>
      <c r="L73" s="230"/>
    </row>
    <row r="74" spans="1:16" ht="13">
      <c r="A74" s="109">
        <f t="shared" si="8"/>
        <v>60</v>
      </c>
      <c r="B74" s="233" t="s">
        <v>403</v>
      </c>
      <c r="C74" s="2" t="s">
        <v>522</v>
      </c>
      <c r="D74" s="230"/>
      <c r="E74" s="230"/>
      <c r="F74" s="84"/>
      <c r="G74" s="230"/>
      <c r="H74" s="230"/>
      <c r="I74" s="2" t="s">
        <v>196</v>
      </c>
      <c r="J74" s="230"/>
    </row>
    <row r="75" spans="1:16" ht="14.5">
      <c r="A75" s="109">
        <f t="shared" si="8"/>
        <v>61</v>
      </c>
      <c r="B75" s="233" t="s">
        <v>193</v>
      </c>
      <c r="C75" s="2" t="s">
        <v>307</v>
      </c>
      <c r="D75" s="2" t="s">
        <v>357</v>
      </c>
      <c r="E75" s="2"/>
      <c r="F75" s="2"/>
      <c r="G75" s="2" t="s">
        <v>520</v>
      </c>
      <c r="H75" s="2"/>
      <c r="I75" s="2" t="s">
        <v>20</v>
      </c>
      <c r="J75" s="230"/>
      <c r="P75" s="241"/>
    </row>
    <row r="76" spans="1:16" ht="14.5">
      <c r="A76" s="109">
        <f t="shared" si="8"/>
        <v>62</v>
      </c>
      <c r="B76" s="3" t="s">
        <v>192</v>
      </c>
      <c r="C76" s="3" t="s">
        <v>21</v>
      </c>
      <c r="D76" s="3" t="s">
        <v>307</v>
      </c>
      <c r="E76" s="3" t="s">
        <v>306</v>
      </c>
      <c r="F76" s="3" t="s">
        <v>519</v>
      </c>
      <c r="G76" s="3" t="s">
        <v>521</v>
      </c>
      <c r="H76" s="3" t="s">
        <v>357</v>
      </c>
      <c r="I76" s="3" t="s">
        <v>77</v>
      </c>
      <c r="J76" s="230"/>
      <c r="K76" s="242"/>
      <c r="L76" s="242"/>
      <c r="M76" s="242"/>
      <c r="N76" s="242"/>
      <c r="O76" s="242"/>
      <c r="P76" s="242"/>
    </row>
    <row r="77" spans="1:16" ht="13">
      <c r="A77" s="109">
        <f t="shared" si="8"/>
        <v>63</v>
      </c>
      <c r="B77" s="247" t="s">
        <v>64</v>
      </c>
      <c r="C77" s="244">
        <v>91759834.939999998</v>
      </c>
      <c r="D77" s="244">
        <v>-10013013.239999998</v>
      </c>
      <c r="E77" s="244">
        <v>406581218.94</v>
      </c>
      <c r="F77" s="244">
        <v>365244852.33000004</v>
      </c>
      <c r="G77" s="244">
        <v>38585667.990000002</v>
      </c>
      <c r="H77" s="1056">
        <v>35847031.689999998</v>
      </c>
      <c r="I77" s="232">
        <f t="shared" ref="I77:I88" si="9">SUM(C77:H77)</f>
        <v>928005592.6500001</v>
      </c>
      <c r="J77" s="230"/>
      <c r="K77" s="52"/>
      <c r="M77" s="7"/>
      <c r="N77" s="7"/>
      <c r="O77" s="7"/>
      <c r="P77" s="7"/>
    </row>
    <row r="78" spans="1:16" ht="13">
      <c r="A78" s="109">
        <f t="shared" si="8"/>
        <v>64</v>
      </c>
      <c r="B78" s="247" t="s">
        <v>65</v>
      </c>
      <c r="C78" s="244">
        <v>64403396.609999999</v>
      </c>
      <c r="D78" s="244">
        <v>-5005734.3500000006</v>
      </c>
      <c r="E78" s="244">
        <v>300716833.06999999</v>
      </c>
      <c r="F78" s="244">
        <v>278452713.24000001</v>
      </c>
      <c r="G78" s="244">
        <v>27014084.219999999</v>
      </c>
      <c r="H78" s="244">
        <v>25937960.170000002</v>
      </c>
      <c r="I78" s="232">
        <f t="shared" si="9"/>
        <v>691519252.95999992</v>
      </c>
      <c r="J78" s="230"/>
      <c r="K78" s="52"/>
      <c r="M78" s="7"/>
      <c r="N78" s="7"/>
      <c r="O78" s="7"/>
      <c r="P78" s="7"/>
    </row>
    <row r="79" spans="1:16" ht="13">
      <c r="A79" s="109">
        <f t="shared" si="8"/>
        <v>65</v>
      </c>
      <c r="B79" s="247" t="s">
        <v>66</v>
      </c>
      <c r="C79" s="244">
        <v>84749269.680000007</v>
      </c>
      <c r="D79" s="244">
        <v>-7717256.1500000004</v>
      </c>
      <c r="E79" s="244">
        <v>369069440.71000004</v>
      </c>
      <c r="F79" s="244">
        <v>309219268.69999999</v>
      </c>
      <c r="G79" s="244">
        <v>37276381.129999995</v>
      </c>
      <c r="H79" s="244">
        <v>32529723.140000001</v>
      </c>
      <c r="I79" s="232">
        <f t="shared" si="9"/>
        <v>825126827.21000004</v>
      </c>
      <c r="J79" s="230"/>
      <c r="K79" s="52"/>
      <c r="M79" s="7"/>
      <c r="N79" s="7"/>
      <c r="O79" s="7"/>
      <c r="P79" s="7"/>
    </row>
    <row r="80" spans="1:16" ht="13">
      <c r="A80" s="109">
        <f t="shared" si="8"/>
        <v>66</v>
      </c>
      <c r="B80" s="247" t="s">
        <v>67</v>
      </c>
      <c r="C80" s="244">
        <v>67988952.049999997</v>
      </c>
      <c r="D80" s="244">
        <v>-6167673.2999999998</v>
      </c>
      <c r="E80" s="244">
        <v>121348118.21000001</v>
      </c>
      <c r="F80" s="244">
        <v>279319865.88000005</v>
      </c>
      <c r="G80" s="244">
        <v>30518078.379999999</v>
      </c>
      <c r="H80" s="244">
        <v>25210213.539999999</v>
      </c>
      <c r="I80" s="232">
        <f t="shared" si="9"/>
        <v>518217554.76000005</v>
      </c>
      <c r="J80" s="230"/>
      <c r="K80" s="52"/>
      <c r="M80" s="7"/>
      <c r="N80" s="7"/>
      <c r="O80" s="7"/>
      <c r="P80" s="7"/>
    </row>
    <row r="81" spans="1:16" ht="13">
      <c r="A81" s="109">
        <f t="shared" si="8"/>
        <v>67</v>
      </c>
      <c r="B81" s="87" t="s">
        <v>184</v>
      </c>
      <c r="C81" s="244">
        <v>93530168.849999994</v>
      </c>
      <c r="D81" s="244">
        <v>-8544241.25</v>
      </c>
      <c r="E81" s="244">
        <v>322874177.88999999</v>
      </c>
      <c r="F81" s="244">
        <v>389092876.06</v>
      </c>
      <c r="G81" s="244">
        <v>36268517.960000001</v>
      </c>
      <c r="H81" s="244">
        <v>33235581.150000002</v>
      </c>
      <c r="I81" s="232">
        <f t="shared" si="9"/>
        <v>866457080.65999997</v>
      </c>
      <c r="J81" s="230"/>
      <c r="K81" s="52"/>
      <c r="M81" s="7"/>
      <c r="N81" s="7"/>
      <c r="O81" s="7"/>
      <c r="P81" s="7"/>
    </row>
    <row r="82" spans="1:16" ht="13">
      <c r="A82" s="109">
        <f t="shared" si="8"/>
        <v>68</v>
      </c>
      <c r="B82" s="247" t="s">
        <v>68</v>
      </c>
      <c r="C82" s="244">
        <v>82893261.829999998</v>
      </c>
      <c r="D82" s="244">
        <v>-3690233.4299999997</v>
      </c>
      <c r="E82" s="244">
        <v>356415013.79000002</v>
      </c>
      <c r="F82" s="244">
        <v>424192086.54000002</v>
      </c>
      <c r="G82" s="244">
        <v>20511372.449999999</v>
      </c>
      <c r="H82" s="244">
        <v>32270719.34</v>
      </c>
      <c r="I82" s="232">
        <f t="shared" si="9"/>
        <v>912592220.5200001</v>
      </c>
      <c r="J82" s="230"/>
      <c r="K82" s="52"/>
      <c r="M82" s="7"/>
      <c r="N82" s="7"/>
      <c r="O82" s="7"/>
      <c r="P82" s="7"/>
    </row>
    <row r="83" spans="1:16" ht="13">
      <c r="A83" s="109">
        <f t="shared" si="8"/>
        <v>69</v>
      </c>
      <c r="B83" s="247" t="s">
        <v>69</v>
      </c>
      <c r="C83" s="244">
        <v>105351358.22</v>
      </c>
      <c r="D83" s="244">
        <v>-456226.26999999955</v>
      </c>
      <c r="E83" s="244">
        <v>517410868.04000002</v>
      </c>
      <c r="F83" s="244">
        <v>674099984.94999993</v>
      </c>
      <c r="G83" s="244">
        <v>21004053.329999998</v>
      </c>
      <c r="H83" s="244">
        <v>45021337.020000003</v>
      </c>
      <c r="I83" s="232">
        <f t="shared" si="9"/>
        <v>1362431375.29</v>
      </c>
      <c r="J83" s="230"/>
      <c r="K83" s="52"/>
      <c r="M83" s="7"/>
      <c r="N83" s="7"/>
      <c r="O83" s="7"/>
      <c r="P83" s="7"/>
    </row>
    <row r="84" spans="1:16" ht="13">
      <c r="A84" s="109">
        <f t="shared" si="8"/>
        <v>70</v>
      </c>
      <c r="B84" s="247" t="s">
        <v>70</v>
      </c>
      <c r="C84" s="244">
        <v>114937290.89</v>
      </c>
      <c r="D84" s="244">
        <v>-2465599.4000000004</v>
      </c>
      <c r="E84" s="244">
        <v>500396189.98000002</v>
      </c>
      <c r="F84" s="244">
        <v>660694470.06000006</v>
      </c>
      <c r="G84" s="244">
        <v>36284081.93</v>
      </c>
      <c r="H84" s="244">
        <v>46366681.729999997</v>
      </c>
      <c r="I84" s="232">
        <f t="shared" si="9"/>
        <v>1356213115.1900003</v>
      </c>
      <c r="J84" s="230"/>
      <c r="K84" s="52"/>
      <c r="M84" s="7"/>
      <c r="N84" s="7"/>
      <c r="O84" s="7"/>
      <c r="P84" s="7"/>
    </row>
    <row r="85" spans="1:16" ht="13">
      <c r="A85" s="109">
        <f t="shared" si="8"/>
        <v>71</v>
      </c>
      <c r="B85" s="247" t="s">
        <v>71</v>
      </c>
      <c r="C85" s="244">
        <v>83261682.019999996</v>
      </c>
      <c r="D85" s="244">
        <v>-1896703.0899999999</v>
      </c>
      <c r="E85" s="244">
        <v>363837484.25999999</v>
      </c>
      <c r="F85" s="244">
        <v>508845118.57999992</v>
      </c>
      <c r="G85" s="244">
        <v>26814937.68</v>
      </c>
      <c r="H85" s="244">
        <v>35136414.289999999</v>
      </c>
      <c r="I85" s="232">
        <f t="shared" si="9"/>
        <v>1015998933.7399999</v>
      </c>
      <c r="J85" s="230"/>
      <c r="K85" s="52"/>
      <c r="M85" s="7"/>
      <c r="N85" s="7"/>
      <c r="O85" s="7"/>
      <c r="P85" s="7"/>
    </row>
    <row r="86" spans="1:16" ht="13">
      <c r="A86" s="109">
        <f t="shared" si="8"/>
        <v>72</v>
      </c>
      <c r="B86" s="247" t="s">
        <v>72</v>
      </c>
      <c r="C86" s="244">
        <v>88300708.25</v>
      </c>
      <c r="D86" s="244">
        <v>-2000018.1099999994</v>
      </c>
      <c r="E86" s="244">
        <v>204509898.28999999</v>
      </c>
      <c r="F86" s="244">
        <v>403894973.68999994</v>
      </c>
      <c r="G86" s="244">
        <v>21725322.800000001</v>
      </c>
      <c r="H86" s="244">
        <v>35095021.719999999</v>
      </c>
      <c r="I86" s="232">
        <f t="shared" si="9"/>
        <v>751525906.63999987</v>
      </c>
      <c r="J86" s="230"/>
      <c r="K86" s="52"/>
      <c r="M86" s="7"/>
      <c r="N86" s="7"/>
      <c r="O86" s="7"/>
      <c r="P86" s="7"/>
    </row>
    <row r="87" spans="1:16" ht="13">
      <c r="A87" s="109">
        <f t="shared" si="8"/>
        <v>73</v>
      </c>
      <c r="B87" s="247" t="s">
        <v>73</v>
      </c>
      <c r="C87" s="244">
        <v>66473158.030000001</v>
      </c>
      <c r="D87" s="244">
        <v>-1504656.3699999996</v>
      </c>
      <c r="E87" s="244">
        <v>231400296.02000001</v>
      </c>
      <c r="F87" s="244">
        <v>245128620.10999998</v>
      </c>
      <c r="G87" s="244">
        <v>18944651.989999998</v>
      </c>
      <c r="H87" s="244">
        <v>26734799.310000002</v>
      </c>
      <c r="I87" s="232">
        <f t="shared" si="9"/>
        <v>587176869.08999991</v>
      </c>
      <c r="J87" s="230"/>
      <c r="K87" s="52"/>
      <c r="M87" s="7"/>
      <c r="N87" s="7"/>
      <c r="O87" s="7"/>
      <c r="P87" s="7"/>
    </row>
    <row r="88" spans="1:16" ht="13">
      <c r="A88" s="109">
        <f t="shared" si="8"/>
        <v>74</v>
      </c>
      <c r="B88" s="247" t="s">
        <v>74</v>
      </c>
      <c r="C88" s="106">
        <v>99572808.420000002</v>
      </c>
      <c r="D88" s="106">
        <v>-2251074</v>
      </c>
      <c r="E88" s="106">
        <v>375676579.02000004</v>
      </c>
      <c r="F88" s="106">
        <v>432901977.22999996</v>
      </c>
      <c r="G88" s="106">
        <v>29599630.350000001</v>
      </c>
      <c r="H88" s="106">
        <v>40934001.68</v>
      </c>
      <c r="I88" s="91">
        <f t="shared" si="9"/>
        <v>976433922.70000005</v>
      </c>
      <c r="J88" s="230"/>
      <c r="K88" s="52"/>
      <c r="M88" s="7"/>
      <c r="N88" s="7"/>
      <c r="O88" s="7"/>
      <c r="P88" s="91"/>
    </row>
    <row r="89" spans="1:16" ht="13">
      <c r="A89" s="109">
        <f t="shared" si="8"/>
        <v>75</v>
      </c>
      <c r="B89" s="87" t="s">
        <v>197</v>
      </c>
      <c r="C89" s="232">
        <f t="shared" ref="C89:I89" si="10">SUM(C77:C88)</f>
        <v>1043221889.7899998</v>
      </c>
      <c r="D89" s="232">
        <f t="shared" si="10"/>
        <v>-51712428.960000001</v>
      </c>
      <c r="E89" s="232">
        <f t="shared" si="10"/>
        <v>4070236118.2200003</v>
      </c>
      <c r="F89" s="232">
        <f t="shared" si="10"/>
        <v>4971086807.3699989</v>
      </c>
      <c r="G89" s="232">
        <f t="shared" si="10"/>
        <v>344546780.21000004</v>
      </c>
      <c r="H89" s="232">
        <f t="shared" si="10"/>
        <v>414319484.78000009</v>
      </c>
      <c r="I89" s="232">
        <f t="shared" si="10"/>
        <v>10791698651.410002</v>
      </c>
      <c r="J89" s="230"/>
      <c r="P89" s="7"/>
    </row>
    <row r="90" spans="1:16" ht="13">
      <c r="A90" s="109">
        <f t="shared" si="8"/>
        <v>76</v>
      </c>
      <c r="B90" s="230"/>
      <c r="C90" s="230"/>
      <c r="D90" s="230"/>
      <c r="E90" s="230"/>
      <c r="F90" s="230"/>
      <c r="G90" s="230"/>
      <c r="H90" s="92"/>
      <c r="I90" s="230"/>
      <c r="J90" s="230"/>
      <c r="K90" s="230"/>
      <c r="L90" s="230"/>
    </row>
    <row r="91" spans="1:16" ht="13">
      <c r="A91" s="109">
        <f t="shared" si="8"/>
        <v>77</v>
      </c>
      <c r="B91" s="230"/>
      <c r="C91" s="230"/>
      <c r="D91" s="230"/>
      <c r="E91" s="230"/>
      <c r="F91" s="230"/>
      <c r="G91" s="230"/>
      <c r="H91" s="92" t="s">
        <v>523</v>
      </c>
      <c r="I91" s="1056">
        <v>10791698652</v>
      </c>
      <c r="J91" s="230"/>
      <c r="K91" s="230"/>
      <c r="L91" s="230"/>
    </row>
    <row r="92" spans="1:16">
      <c r="A92" s="230"/>
      <c r="B92" s="230"/>
      <c r="C92" s="230"/>
      <c r="D92" s="230"/>
      <c r="E92" s="230"/>
      <c r="F92" s="230"/>
      <c r="G92" s="230"/>
      <c r="H92" s="230"/>
      <c r="I92" s="230"/>
      <c r="J92" s="230"/>
      <c r="K92" s="230"/>
      <c r="L92" s="230"/>
    </row>
    <row r="93" spans="1:16" ht="13">
      <c r="A93" s="2"/>
      <c r="B93" s="44" t="s">
        <v>378</v>
      </c>
      <c r="C93" s="239"/>
      <c r="D93" s="239"/>
      <c r="E93" s="239"/>
      <c r="F93" s="239"/>
      <c r="G93" s="239"/>
      <c r="H93" s="239"/>
      <c r="I93" s="234"/>
      <c r="J93" s="239"/>
      <c r="K93" s="239"/>
      <c r="L93" s="230"/>
    </row>
    <row r="94" spans="1:16" ht="13">
      <c r="A94" s="2"/>
      <c r="B94" s="475" t="str">
        <f>"1) Enter applicable years on Column 1, Lines "&amp;A24&amp;"-"&amp;A36&amp;" (Prior Year and December of the year previous to the Prior Year)."</f>
        <v>1) Enter applicable years on Column 1, Lines 11-23 (Prior Year and December of the year previous to the Prior Year).</v>
      </c>
      <c r="C94" s="239"/>
      <c r="D94" s="239"/>
      <c r="E94" s="239"/>
      <c r="F94" s="239"/>
      <c r="G94" s="239"/>
      <c r="H94" s="239"/>
      <c r="I94" s="239"/>
      <c r="J94" s="239"/>
      <c r="K94" s="239"/>
      <c r="L94" s="230"/>
    </row>
    <row r="95" spans="1:16" ht="13">
      <c r="A95" s="2"/>
      <c r="B95" s="475" t="str">
        <f>"2) Enter Previous Annual Update True Up Adjustment (if any) on Line "&amp;A41&amp;"."</f>
        <v>2) Enter Previous Annual Update True Up Adjustment (if any) on Line 27.</v>
      </c>
      <c r="C95" s="239"/>
      <c r="D95" s="239"/>
      <c r="E95" s="239"/>
      <c r="F95" s="239"/>
      <c r="G95" s="239"/>
      <c r="H95" s="239"/>
      <c r="I95" s="239"/>
      <c r="J95" s="239"/>
      <c r="K95" s="239"/>
      <c r="L95" s="230"/>
    </row>
    <row r="96" spans="1:16" ht="13">
      <c r="A96" s="2"/>
      <c r="B96" s="1147" t="s">
        <v>2261</v>
      </c>
      <c r="C96" s="239"/>
      <c r="D96" s="239"/>
      <c r="E96" s="239"/>
      <c r="F96" s="239"/>
      <c r="G96" s="239"/>
      <c r="H96" s="239"/>
      <c r="I96" s="239"/>
      <c r="J96" s="239"/>
      <c r="K96" s="239"/>
      <c r="L96" s="230"/>
    </row>
    <row r="97" spans="1:12" ht="13">
      <c r="A97" s="2"/>
      <c r="B97" s="475" t="s">
        <v>964</v>
      </c>
      <c r="C97" s="239"/>
      <c r="D97" s="239"/>
      <c r="E97" s="239"/>
      <c r="F97" s="239"/>
      <c r="G97" s="239"/>
      <c r="H97" s="239"/>
      <c r="I97" s="239"/>
      <c r="J97" s="239"/>
      <c r="K97" s="239"/>
      <c r="L97" s="230"/>
    </row>
    <row r="98" spans="1:12" ht="13">
      <c r="A98" s="2"/>
      <c r="B98" s="921" t="str">
        <f>"18 C.F.R. §35.19a on lines "&amp;A25&amp;" to "&amp;A36&amp;", Column 6."</f>
        <v>18 C.F.R. §35.19a on lines 12 to 23, Column 6.</v>
      </c>
      <c r="C98" s="239"/>
      <c r="D98" s="239"/>
      <c r="E98" s="239"/>
      <c r="F98" s="239"/>
      <c r="G98" s="239"/>
      <c r="H98" s="239"/>
      <c r="I98" s="239"/>
      <c r="J98" s="239"/>
      <c r="K98" s="239"/>
      <c r="L98" s="230"/>
    </row>
    <row r="99" spans="1:12" ht="13">
      <c r="A99" s="2"/>
      <c r="B99" s="475" t="s">
        <v>2262</v>
      </c>
      <c r="C99" s="239"/>
      <c r="D99" s="239"/>
      <c r="E99" s="239"/>
      <c r="F99" s="239"/>
      <c r="G99" s="239"/>
      <c r="H99" s="239"/>
      <c r="I99" s="239"/>
      <c r="J99" s="239"/>
      <c r="K99" s="239"/>
      <c r="L99" s="230"/>
    </row>
    <row r="100" spans="1:12" ht="13">
      <c r="A100" s="2"/>
      <c r="B100" s="455" t="s">
        <v>1710</v>
      </c>
      <c r="C100" s="239"/>
      <c r="D100" s="239"/>
      <c r="E100" s="239"/>
      <c r="F100" s="239"/>
      <c r="G100" s="239"/>
      <c r="H100" s="239"/>
      <c r="I100" s="239"/>
      <c r="J100" s="239"/>
      <c r="K100" s="239"/>
      <c r="L100" s="230"/>
    </row>
    <row r="101" spans="1:12" ht="13">
      <c r="A101" s="572"/>
      <c r="B101" s="923" t="s">
        <v>2263</v>
      </c>
      <c r="C101" s="239"/>
      <c r="D101" s="239"/>
      <c r="E101" s="239"/>
      <c r="F101" s="239"/>
      <c r="G101" s="239"/>
      <c r="H101" s="239"/>
      <c r="I101" s="239"/>
      <c r="J101" s="239"/>
      <c r="K101" s="239"/>
    </row>
    <row r="102" spans="1:12" ht="13">
      <c r="A102" s="572"/>
      <c r="B102" s="1148" t="s">
        <v>2264</v>
      </c>
      <c r="C102" s="239"/>
      <c r="D102" s="239"/>
      <c r="E102" s="239"/>
      <c r="F102" s="239"/>
      <c r="G102" s="239"/>
      <c r="H102" s="239"/>
      <c r="I102" s="239"/>
      <c r="J102" s="239"/>
      <c r="K102" s="239"/>
      <c r="L102" s="230"/>
    </row>
    <row r="103" spans="1:12" ht="13">
      <c r="A103" s="572"/>
      <c r="B103" s="1148" t="str">
        <f>"Entering on Line "&amp;A25&amp;" (or other appropriate) ensures these One Time Adjustments are recovered from or returned to customers."</f>
        <v>Entering on Line 12 (or other appropriate) ensures these One Time Adjustments are recovered from or returned to customers.</v>
      </c>
      <c r="C103" s="14"/>
      <c r="D103" s="239"/>
      <c r="E103" s="239"/>
      <c r="F103" s="239"/>
      <c r="G103" s="239"/>
      <c r="H103" s="239"/>
      <c r="I103" s="239"/>
      <c r="J103" s="239"/>
      <c r="K103" s="239"/>
      <c r="L103" s="230"/>
    </row>
    <row r="104" spans="1:12" ht="13">
      <c r="A104" s="2"/>
      <c r="B104" s="923" t="s">
        <v>2265</v>
      </c>
      <c r="C104" s="239"/>
      <c r="D104" s="239"/>
      <c r="E104" s="239"/>
      <c r="F104" s="239"/>
      <c r="G104" s="239"/>
      <c r="H104" s="239"/>
      <c r="I104" s="239"/>
      <c r="J104" s="239"/>
      <c r="K104" s="239"/>
      <c r="L104" s="230"/>
    </row>
    <row r="105" spans="1:12" ht="13">
      <c r="A105" s="2"/>
      <c r="B105" s="923" t="s">
        <v>2266</v>
      </c>
      <c r="C105" s="239"/>
      <c r="D105" s="239"/>
      <c r="E105" s="239"/>
      <c r="F105" s="239"/>
      <c r="G105" s="239"/>
      <c r="H105" s="239"/>
      <c r="I105" s="239"/>
      <c r="J105" s="239"/>
      <c r="K105" s="239"/>
      <c r="L105" s="230"/>
    </row>
    <row r="106" spans="1:12" ht="13">
      <c r="A106" s="2"/>
      <c r="B106" s="475" t="str">
        <f>"5) Fill in matrix of all retail revenues from Prior Year in table on lines "&amp;A77&amp;" to "&amp;A88&amp;"."</f>
        <v>5) Fill in matrix of all retail revenues from Prior Year in table on lines 63 to 74.</v>
      </c>
      <c r="C106" s="239"/>
      <c r="D106" s="239"/>
      <c r="E106" s="239"/>
      <c r="F106" s="239"/>
      <c r="G106" s="239"/>
      <c r="H106" s="239"/>
      <c r="I106" s="239"/>
      <c r="J106" s="239"/>
      <c r="K106" s="239"/>
      <c r="L106" s="230"/>
    </row>
    <row r="107" spans="1:12" ht="13">
      <c r="A107" s="2"/>
      <c r="B107" s="475" t="str">
        <f>"6) Enter Total Sales to Ultimate Consumers on line "&amp;A91&amp;" and verify that it equals the total on line "&amp;A89&amp;"."</f>
        <v>6) Enter Total Sales to Ultimate Consumers on line 77 and verify that it equals the total on line 75.</v>
      </c>
      <c r="C107" s="239"/>
      <c r="D107" s="239"/>
      <c r="E107" s="239"/>
      <c r="F107" s="239"/>
      <c r="G107" s="239"/>
      <c r="H107" s="239"/>
      <c r="I107" s="239"/>
      <c r="J107" s="239"/>
      <c r="K107" s="239"/>
      <c r="L107" s="230"/>
    </row>
    <row r="108" spans="1:12" ht="13">
      <c r="A108" s="2"/>
      <c r="B108" s="475" t="s">
        <v>2267</v>
      </c>
      <c r="C108" s="239"/>
      <c r="D108" s="239"/>
      <c r="E108" s="239"/>
      <c r="F108" s="239"/>
      <c r="G108" s="239"/>
      <c r="H108" s="239"/>
      <c r="I108" s="239"/>
      <c r="J108" s="239"/>
      <c r="K108" s="239"/>
      <c r="L108" s="230"/>
    </row>
    <row r="109" spans="1:12" s="14" customFormat="1" ht="13">
      <c r="A109" s="109"/>
      <c r="B109" s="921" t="s">
        <v>1064</v>
      </c>
      <c r="C109" s="239"/>
      <c r="D109" s="239"/>
      <c r="E109" s="239"/>
      <c r="F109" s="239"/>
      <c r="G109" s="239"/>
      <c r="H109" s="239"/>
      <c r="I109" s="239"/>
      <c r="J109" s="239"/>
      <c r="K109" s="239"/>
      <c r="L109" s="239"/>
    </row>
    <row r="110" spans="1:12" ht="13">
      <c r="A110" s="2"/>
      <c r="B110" s="910" t="s">
        <v>230</v>
      </c>
      <c r="C110" s="239"/>
      <c r="D110" s="239"/>
      <c r="E110" s="239"/>
      <c r="F110" s="239"/>
      <c r="G110" s="239"/>
      <c r="H110" s="239"/>
      <c r="I110" s="239"/>
      <c r="J110" s="239"/>
      <c r="K110" s="239"/>
      <c r="L110" s="230"/>
    </row>
    <row r="111" spans="1:12" ht="13">
      <c r="A111" s="2"/>
      <c r="B111" s="480" t="s">
        <v>1485</v>
      </c>
      <c r="C111" s="239"/>
      <c r="D111" s="239"/>
      <c r="E111" s="239"/>
      <c r="F111" s="239"/>
      <c r="G111" s="239"/>
      <c r="H111" s="239"/>
      <c r="I111" s="239"/>
      <c r="J111" s="239"/>
      <c r="K111" s="239"/>
      <c r="L111" s="230"/>
    </row>
    <row r="112" spans="1:12" ht="13">
      <c r="A112" s="2"/>
      <c r="B112" s="1149" t="s">
        <v>1486</v>
      </c>
      <c r="C112" s="239"/>
      <c r="D112" s="239"/>
      <c r="E112" s="239"/>
      <c r="F112" s="239"/>
      <c r="G112" s="239"/>
      <c r="H112" s="239"/>
      <c r="I112" s="239"/>
      <c r="J112" s="239"/>
      <c r="K112" s="239"/>
      <c r="L112" s="230"/>
    </row>
    <row r="113" spans="1:12" ht="13">
      <c r="A113" s="2"/>
      <c r="B113" s="1147"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3" s="239"/>
      <c r="D113" s="239"/>
      <c r="E113" s="239"/>
      <c r="F113" s="239"/>
      <c r="G113" s="239"/>
      <c r="H113" s="239"/>
      <c r="I113" s="239"/>
      <c r="J113" s="239"/>
      <c r="K113" s="239"/>
      <c r="L113" s="230"/>
    </row>
    <row r="114" spans="1:12" ht="13">
      <c r="A114" s="505"/>
      <c r="B114" s="1147" t="str">
        <f>"Only enter in the Prior Year, Lines "&amp;A25&amp;" to "&amp;A36&amp;", or portion of year formula was in effect in case of Partial Year True Up."</f>
        <v>Only enter in the Prior Year, Lines 12 to 23, or portion of year formula was in effect in case of Partial Year True Up.</v>
      </c>
      <c r="C114" s="239"/>
      <c r="D114" s="239"/>
      <c r="E114" s="239"/>
      <c r="F114" s="239"/>
      <c r="G114" s="239"/>
      <c r="H114" s="239"/>
      <c r="I114" s="239"/>
      <c r="J114" s="239"/>
      <c r="K114" s="239"/>
      <c r="L114" s="230"/>
    </row>
    <row r="115" spans="1:12" ht="13">
      <c r="A115" s="572"/>
      <c r="B115" s="1147" t="s">
        <v>1822</v>
      </c>
      <c r="C115" s="239"/>
      <c r="D115" s="239"/>
      <c r="E115" s="239"/>
      <c r="F115" s="239"/>
      <c r="G115" s="239"/>
      <c r="H115" s="239"/>
      <c r="I115" s="239"/>
      <c r="J115" s="239"/>
      <c r="K115" s="239"/>
      <c r="L115" s="230"/>
    </row>
    <row r="116" spans="1:12" ht="13">
      <c r="A116" s="2"/>
      <c r="B116" s="1149" t="s">
        <v>1065</v>
      </c>
      <c r="C116" s="239"/>
      <c r="D116" s="239"/>
      <c r="E116" s="239"/>
      <c r="F116" s="239"/>
      <c r="G116" s="239"/>
      <c r="H116" s="239"/>
      <c r="I116" s="239"/>
      <c r="J116" s="239"/>
      <c r="K116" s="239"/>
      <c r="L116" s="230"/>
    </row>
    <row r="117" spans="1:12" ht="13">
      <c r="A117" s="2"/>
      <c r="B117" s="1147" t="str">
        <f>"as shown on Lines "&amp;A77&amp;" to "&amp;A88&amp;", Column 1."</f>
        <v>as shown on Lines 63 to 74, Column 1.</v>
      </c>
      <c r="C117" s="239"/>
      <c r="D117" s="239"/>
      <c r="E117" s="239"/>
      <c r="F117" s="239"/>
      <c r="G117" s="239"/>
      <c r="H117" s="239"/>
      <c r="I117" s="239"/>
      <c r="J117" s="239"/>
      <c r="K117" s="239"/>
      <c r="L117" s="230"/>
    </row>
    <row r="118" spans="1:12" ht="13">
      <c r="A118" s="2"/>
      <c r="B118" s="1149" t="s">
        <v>2414</v>
      </c>
      <c r="C118" s="239"/>
      <c r="D118" s="239"/>
      <c r="E118" s="239"/>
      <c r="F118" s="239"/>
      <c r="G118" s="239"/>
      <c r="H118" s="239"/>
      <c r="I118" s="239"/>
      <c r="J118" s="239"/>
      <c r="K118" s="239"/>
      <c r="L118" s="230"/>
    </row>
    <row r="119" spans="1:12" ht="13">
      <c r="A119" s="2"/>
      <c r="B119" s="1149" t="s">
        <v>1611</v>
      </c>
      <c r="C119" s="239"/>
      <c r="D119" s="239"/>
      <c r="E119" s="239"/>
      <c r="F119" s="239"/>
      <c r="G119" s="239"/>
      <c r="H119" s="239"/>
      <c r="I119" s="239"/>
      <c r="J119" s="239"/>
      <c r="K119" s="239"/>
      <c r="L119" s="230"/>
    </row>
    <row r="120" spans="1:12" ht="13">
      <c r="A120" s="2"/>
      <c r="B120" s="475" t="s">
        <v>2268</v>
      </c>
      <c r="C120" s="239"/>
      <c r="D120" s="239"/>
      <c r="E120" s="239"/>
      <c r="F120" s="239"/>
      <c r="G120" s="239"/>
      <c r="H120" s="239"/>
      <c r="I120" s="239"/>
      <c r="J120" s="239"/>
      <c r="K120" s="239"/>
      <c r="L120" s="230"/>
    </row>
    <row r="121" spans="1:12" ht="13">
      <c r="A121" s="572"/>
      <c r="B121" s="921" t="s">
        <v>2269</v>
      </c>
      <c r="C121" s="239"/>
      <c r="D121" s="239"/>
      <c r="E121" s="239"/>
      <c r="F121" s="239"/>
      <c r="G121" s="239"/>
      <c r="H121" s="239"/>
      <c r="I121" s="239"/>
      <c r="J121" s="239"/>
      <c r="K121" s="239"/>
      <c r="L121" s="230"/>
    </row>
    <row r="122" spans="1:12" ht="13">
      <c r="A122" s="572"/>
      <c r="B122" s="475" t="s">
        <v>1066</v>
      </c>
      <c r="C122" s="239"/>
      <c r="D122" s="239"/>
      <c r="E122" s="239"/>
      <c r="F122" s="239"/>
      <c r="G122" s="239"/>
      <c r="H122" s="239"/>
      <c r="I122" s="239"/>
      <c r="J122" s="239"/>
      <c r="K122" s="239"/>
      <c r="L122" s="239"/>
    </row>
    <row r="123" spans="1:12" ht="13">
      <c r="A123" s="2"/>
      <c r="B123" s="922" t="s">
        <v>2270</v>
      </c>
      <c r="C123" s="239"/>
      <c r="D123" s="239"/>
      <c r="E123" s="239"/>
      <c r="F123" s="239"/>
      <c r="G123" s="239"/>
      <c r="H123" s="239"/>
      <c r="I123" s="239"/>
      <c r="J123" s="239"/>
      <c r="K123" s="239"/>
      <c r="L123" s="239"/>
    </row>
    <row r="124" spans="1:12" ht="13">
      <c r="A124" s="2"/>
      <c r="B124" s="475" t="s">
        <v>2271</v>
      </c>
      <c r="C124" s="239"/>
      <c r="D124" s="239"/>
      <c r="E124" s="239"/>
      <c r="F124" s="239"/>
      <c r="G124" s="239"/>
      <c r="H124" s="239"/>
      <c r="I124" s="239"/>
      <c r="J124" s="239"/>
      <c r="K124" s="239"/>
      <c r="L124" s="230"/>
    </row>
    <row r="125" spans="1:12" ht="13">
      <c r="A125" s="2"/>
      <c r="B125" s="475" t="s">
        <v>2272</v>
      </c>
      <c r="C125" s="239"/>
      <c r="D125" s="239"/>
      <c r="E125" s="239"/>
      <c r="F125" s="239"/>
      <c r="G125" s="239"/>
      <c r="H125" s="239"/>
      <c r="I125" s="239"/>
      <c r="J125" s="239"/>
      <c r="K125" s="239"/>
      <c r="L125" s="230"/>
    </row>
    <row r="126" spans="1:12" ht="13">
      <c r="A126" s="2"/>
      <c r="B126" s="921" t="s">
        <v>527</v>
      </c>
      <c r="C126" s="239"/>
      <c r="D126" s="239"/>
      <c r="E126" s="239"/>
      <c r="F126" s="239"/>
      <c r="G126" s="239"/>
      <c r="H126" s="239"/>
      <c r="I126" s="239"/>
      <c r="J126" s="239"/>
      <c r="K126" s="239"/>
      <c r="L126" s="230"/>
    </row>
    <row r="127" spans="1:12" ht="13">
      <c r="A127" s="2"/>
      <c r="B127" s="921" t="s">
        <v>1875</v>
      </c>
      <c r="C127" s="239"/>
      <c r="D127" s="239"/>
      <c r="E127" s="239"/>
      <c r="F127" s="239"/>
      <c r="G127" s="239"/>
      <c r="H127" s="239"/>
      <c r="I127" s="239"/>
      <c r="J127" s="239"/>
      <c r="K127" s="239"/>
      <c r="L127" s="230"/>
    </row>
    <row r="128" spans="1:12" ht="13">
      <c r="A128" s="2"/>
      <c r="B128" s="921" t="s">
        <v>1876</v>
      </c>
      <c r="C128" s="239"/>
      <c r="D128" s="239"/>
      <c r="E128" s="239"/>
      <c r="F128" s="239"/>
      <c r="G128" s="239"/>
      <c r="H128" s="239"/>
      <c r="I128" s="239"/>
      <c r="J128" s="239"/>
      <c r="K128" s="239"/>
      <c r="L128" s="230"/>
    </row>
    <row r="129" spans="1:12" ht="13">
      <c r="A129" s="2"/>
      <c r="B129" s="475" t="s">
        <v>2273</v>
      </c>
      <c r="C129" s="239"/>
      <c r="D129" s="239"/>
      <c r="E129" s="239"/>
      <c r="F129" s="239"/>
      <c r="G129" s="239"/>
      <c r="H129" s="239"/>
      <c r="I129" s="239"/>
      <c r="J129" s="239"/>
      <c r="K129" s="239"/>
      <c r="L129" s="230"/>
    </row>
    <row r="130" spans="1:12" ht="13">
      <c r="A130" s="2"/>
      <c r="B130" s="921" t="s">
        <v>2031</v>
      </c>
      <c r="C130" s="239"/>
      <c r="D130" s="239"/>
      <c r="E130" s="239"/>
      <c r="F130" s="239"/>
      <c r="G130" s="239"/>
      <c r="H130" s="239"/>
      <c r="I130" s="239"/>
      <c r="J130" s="239"/>
      <c r="K130" s="239"/>
      <c r="L130" s="230"/>
    </row>
    <row r="131" spans="1:12" ht="13">
      <c r="A131" s="2"/>
      <c r="B131" s="921" t="s">
        <v>2030</v>
      </c>
      <c r="C131" s="239"/>
      <c r="D131" s="239"/>
      <c r="E131" s="239"/>
      <c r="F131" s="239"/>
      <c r="G131" s="239"/>
      <c r="H131" s="239"/>
      <c r="I131" s="239"/>
      <c r="J131" s="239"/>
      <c r="K131" s="239"/>
      <c r="L131" s="230"/>
    </row>
    <row r="132" spans="1:12">
      <c r="A132" s="230"/>
      <c r="B132" s="921" t="s">
        <v>2029</v>
      </c>
      <c r="C132" s="239"/>
      <c r="D132" s="239"/>
      <c r="E132" s="239"/>
      <c r="F132" s="239"/>
      <c r="G132" s="239"/>
      <c r="H132" s="239"/>
      <c r="I132" s="239"/>
      <c r="J132" s="239"/>
      <c r="K132" s="239"/>
      <c r="L132" s="230"/>
    </row>
    <row r="133" spans="1:12">
      <c r="A133" s="230"/>
      <c r="B133" s="921" t="s">
        <v>965</v>
      </c>
      <c r="C133" s="239"/>
      <c r="D133" s="239"/>
      <c r="E133" s="239"/>
      <c r="F133" s="239"/>
      <c r="G133" s="239"/>
      <c r="H133" s="239"/>
      <c r="I133" s="239"/>
      <c r="J133" s="239"/>
      <c r="K133" s="239"/>
      <c r="L133" s="230"/>
    </row>
    <row r="134" spans="1:12">
      <c r="A134" s="230"/>
      <c r="B134" s="46"/>
      <c r="C134" s="239"/>
      <c r="D134" s="239"/>
      <c r="E134" s="239"/>
      <c r="F134" s="239"/>
      <c r="G134" s="239"/>
      <c r="H134" s="239"/>
      <c r="I134" s="239"/>
      <c r="J134" s="239"/>
      <c r="K134" s="239"/>
      <c r="L134" s="230"/>
    </row>
    <row r="135" spans="1:12">
      <c r="A135" s="230"/>
      <c r="B135" s="374"/>
      <c r="C135" s="239"/>
      <c r="D135" s="239"/>
      <c r="E135" s="239"/>
      <c r="F135" s="239"/>
      <c r="G135" s="239"/>
      <c r="H135" s="239"/>
      <c r="I135" s="239"/>
      <c r="J135" s="239"/>
      <c r="K135" s="239"/>
      <c r="L135" s="230"/>
    </row>
    <row r="136" spans="1:12">
      <c r="A136" s="230"/>
      <c r="B136" s="921"/>
      <c r="C136" s="239"/>
      <c r="D136" s="239"/>
      <c r="E136" s="239"/>
      <c r="F136" s="239"/>
      <c r="G136" s="239"/>
      <c r="H136" s="239"/>
      <c r="I136" s="239"/>
      <c r="J136" s="239"/>
      <c r="K136" s="239"/>
      <c r="L136" s="230"/>
    </row>
    <row r="137" spans="1:12">
      <c r="A137" s="230"/>
      <c r="B137" s="921"/>
      <c r="C137" s="239"/>
      <c r="D137" s="239"/>
      <c r="E137" s="239"/>
      <c r="F137" s="239"/>
      <c r="G137" s="239"/>
      <c r="H137" s="239"/>
      <c r="I137" s="239"/>
      <c r="J137" s="239"/>
      <c r="K137" s="239"/>
      <c r="L137" s="230"/>
    </row>
    <row r="138" spans="1:12">
      <c r="A138" s="230"/>
      <c r="B138" s="46"/>
      <c r="C138" s="239"/>
      <c r="D138" s="239"/>
      <c r="E138" s="239"/>
      <c r="F138" s="239"/>
      <c r="G138" s="239"/>
      <c r="H138" s="239"/>
      <c r="I138" s="239"/>
      <c r="J138" s="239"/>
      <c r="K138" s="239"/>
      <c r="L138" s="230"/>
    </row>
    <row r="139" spans="1:12">
      <c r="A139" s="230"/>
      <c r="B139" s="921"/>
      <c r="C139" s="239"/>
      <c r="D139" s="239"/>
      <c r="E139" s="239"/>
      <c r="F139" s="239"/>
      <c r="G139" s="239"/>
      <c r="H139" s="239"/>
      <c r="I139" s="239"/>
      <c r="J139" s="239"/>
      <c r="K139" s="239"/>
      <c r="L139" s="230"/>
    </row>
    <row r="140" spans="1:12">
      <c r="A140" s="230"/>
      <c r="B140" s="921"/>
      <c r="C140" s="239"/>
      <c r="D140" s="239"/>
      <c r="E140" s="239"/>
      <c r="F140" s="239"/>
      <c r="G140" s="239"/>
      <c r="H140" s="239"/>
      <c r="I140" s="239"/>
      <c r="J140" s="239"/>
      <c r="K140" s="239"/>
      <c r="L140" s="230"/>
    </row>
    <row r="141" spans="1:12">
      <c r="A141" s="230"/>
      <c r="B141" s="921"/>
      <c r="C141" s="239"/>
      <c r="D141" s="239"/>
      <c r="E141" s="239"/>
      <c r="F141" s="239"/>
      <c r="G141" s="239"/>
      <c r="H141" s="239"/>
      <c r="I141" s="239"/>
      <c r="J141" s="239"/>
      <c r="K141" s="239"/>
      <c r="L141" s="230"/>
    </row>
    <row r="142" spans="1:12">
      <c r="A142" s="230"/>
      <c r="B142" s="374"/>
      <c r="C142" s="239"/>
      <c r="D142" s="239"/>
      <c r="E142" s="239"/>
      <c r="F142" s="239"/>
      <c r="G142" s="239"/>
      <c r="H142" s="239"/>
      <c r="I142" s="239"/>
      <c r="J142" s="239"/>
      <c r="K142" s="239"/>
      <c r="L142" s="230"/>
    </row>
    <row r="143" spans="1:12">
      <c r="A143" s="230"/>
      <c r="C143" s="230"/>
      <c r="D143" s="230"/>
      <c r="E143" s="230"/>
      <c r="F143" s="230"/>
      <c r="G143" s="230"/>
      <c r="H143" s="230"/>
      <c r="I143" s="230"/>
      <c r="J143" s="230"/>
      <c r="K143" s="230"/>
      <c r="L143" s="230"/>
    </row>
    <row r="144" spans="1:12">
      <c r="A144" s="230"/>
      <c r="B144" s="230"/>
      <c r="C144" s="230"/>
      <c r="D144" s="230"/>
      <c r="E144" s="230"/>
      <c r="F144" s="230"/>
      <c r="G144" s="230"/>
      <c r="H144" s="230"/>
      <c r="I144" s="230"/>
      <c r="J144" s="230"/>
      <c r="K144" s="230"/>
      <c r="L144" s="230"/>
    </row>
    <row r="145" spans="1:12">
      <c r="A145" s="230"/>
      <c r="B145" s="230"/>
      <c r="C145" s="230"/>
      <c r="D145" s="230"/>
      <c r="E145" s="230"/>
      <c r="F145" s="230"/>
      <c r="G145" s="230"/>
      <c r="H145" s="230"/>
      <c r="I145" s="230"/>
      <c r="J145" s="230"/>
      <c r="K145" s="230"/>
      <c r="L145" s="230"/>
    </row>
    <row r="146" spans="1:12">
      <c r="A146" s="230"/>
      <c r="B146" s="230"/>
      <c r="C146" s="230"/>
      <c r="D146" s="230"/>
      <c r="E146" s="230"/>
      <c r="F146" s="230"/>
      <c r="G146" s="230"/>
      <c r="H146" s="230"/>
      <c r="I146" s="230"/>
      <c r="J146" s="230"/>
      <c r="K146" s="230"/>
      <c r="L146" s="230"/>
    </row>
    <row r="147" spans="1:12">
      <c r="A147" s="230"/>
      <c r="B147" s="230"/>
      <c r="C147" s="230"/>
      <c r="D147" s="230"/>
      <c r="E147" s="230"/>
      <c r="F147" s="230"/>
      <c r="G147" s="230"/>
      <c r="H147" s="230"/>
      <c r="I147" s="230"/>
      <c r="J147" s="230"/>
      <c r="K147" s="230"/>
      <c r="L147" s="230"/>
    </row>
    <row r="148" spans="1:12">
      <c r="A148" s="230"/>
      <c r="B148" s="230"/>
      <c r="C148" s="230"/>
      <c r="D148" s="230"/>
      <c r="E148" s="230"/>
      <c r="F148" s="230"/>
      <c r="G148" s="230"/>
      <c r="H148" s="230"/>
      <c r="I148" s="230"/>
      <c r="J148" s="230"/>
      <c r="K148" s="230"/>
      <c r="L148" s="230"/>
    </row>
    <row r="149" spans="1:12">
      <c r="A149" s="230"/>
      <c r="B149" s="230"/>
      <c r="C149" s="230"/>
      <c r="D149" s="230"/>
      <c r="E149" s="230"/>
      <c r="F149" s="230"/>
      <c r="G149" s="230"/>
      <c r="H149" s="230"/>
      <c r="I149" s="230"/>
      <c r="J149" s="230"/>
      <c r="K149" s="230"/>
      <c r="L149" s="230"/>
    </row>
    <row r="150" spans="1:12">
      <c r="A150" s="230"/>
      <c r="B150" s="230"/>
      <c r="C150" s="230"/>
      <c r="D150" s="230"/>
      <c r="E150" s="230"/>
      <c r="F150" s="230"/>
      <c r="G150" s="230"/>
      <c r="H150" s="230"/>
      <c r="I150" s="230"/>
      <c r="J150" s="230"/>
      <c r="K150" s="230"/>
      <c r="L150" s="230"/>
    </row>
    <row r="151" spans="1:12">
      <c r="A151" s="230"/>
      <c r="B151" s="230"/>
      <c r="C151" s="230"/>
      <c r="D151" s="230"/>
      <c r="E151" s="230"/>
      <c r="F151" s="230"/>
      <c r="G151" s="230"/>
      <c r="H151" s="230"/>
      <c r="I151" s="230"/>
      <c r="J151" s="230"/>
      <c r="K151" s="230"/>
      <c r="L151" s="230"/>
    </row>
    <row r="152" spans="1:12">
      <c r="A152" s="230"/>
      <c r="B152" s="230"/>
      <c r="C152" s="230"/>
      <c r="D152" s="230"/>
      <c r="E152" s="230"/>
      <c r="F152" s="230"/>
      <c r="G152" s="230"/>
      <c r="H152" s="230"/>
      <c r="I152" s="230"/>
      <c r="J152" s="230"/>
      <c r="K152" s="230"/>
      <c r="L152" s="230"/>
    </row>
    <row r="153" spans="1:12">
      <c r="A153" s="230"/>
      <c r="B153" s="230"/>
      <c r="C153" s="230"/>
      <c r="D153" s="230"/>
      <c r="E153" s="230"/>
      <c r="F153" s="230"/>
      <c r="G153" s="230"/>
      <c r="H153" s="230"/>
      <c r="I153" s="230"/>
      <c r="J153" s="230"/>
      <c r="K153" s="230"/>
      <c r="L153" s="230"/>
    </row>
    <row r="154" spans="1:12">
      <c r="A154" s="230"/>
      <c r="B154" s="230"/>
      <c r="C154" s="230"/>
      <c r="D154" s="230"/>
      <c r="E154" s="230"/>
      <c r="F154" s="230"/>
      <c r="G154" s="230"/>
      <c r="H154" s="230"/>
      <c r="I154" s="230"/>
      <c r="J154" s="230"/>
      <c r="K154" s="230"/>
      <c r="L154" s="230"/>
    </row>
    <row r="155" spans="1:12">
      <c r="A155" s="230"/>
      <c r="B155" s="230"/>
      <c r="C155" s="230"/>
      <c r="D155" s="230"/>
      <c r="E155" s="230"/>
      <c r="F155" s="230"/>
      <c r="G155" s="230"/>
      <c r="H155" s="230"/>
      <c r="I155" s="230"/>
      <c r="J155" s="230"/>
      <c r="K155" s="230"/>
      <c r="L155" s="230"/>
    </row>
    <row r="156" spans="1:12">
      <c r="A156" s="230"/>
      <c r="B156" s="230"/>
      <c r="C156" s="230"/>
      <c r="D156" s="230"/>
      <c r="E156" s="230"/>
      <c r="F156" s="230"/>
      <c r="G156" s="230"/>
      <c r="H156" s="230"/>
      <c r="I156" s="230"/>
      <c r="J156" s="230"/>
      <c r="K156" s="230"/>
      <c r="L156" s="230"/>
    </row>
    <row r="157" spans="1:12">
      <c r="A157" s="230"/>
      <c r="B157" s="230"/>
      <c r="C157" s="230"/>
      <c r="D157" s="230"/>
      <c r="E157" s="230"/>
      <c r="F157" s="230"/>
      <c r="G157" s="230"/>
      <c r="H157" s="230"/>
      <c r="I157" s="230"/>
      <c r="J157" s="230"/>
      <c r="K157" s="230"/>
      <c r="L157" s="230"/>
    </row>
    <row r="158" spans="1:12">
      <c r="A158" s="230"/>
      <c r="B158" s="230"/>
      <c r="C158" s="230"/>
      <c r="D158" s="230"/>
      <c r="E158" s="230"/>
      <c r="F158" s="230"/>
      <c r="G158" s="230"/>
      <c r="H158" s="230"/>
      <c r="I158" s="230"/>
      <c r="J158" s="230"/>
      <c r="K158" s="230"/>
      <c r="L158" s="230"/>
    </row>
    <row r="159" spans="1:12">
      <c r="A159" s="230"/>
      <c r="B159" s="230"/>
      <c r="C159" s="230"/>
      <c r="D159" s="230"/>
      <c r="E159" s="230"/>
      <c r="F159" s="230"/>
      <c r="G159" s="230"/>
      <c r="H159" s="230"/>
      <c r="I159" s="230"/>
      <c r="J159" s="230"/>
      <c r="K159" s="230"/>
      <c r="L159" s="230"/>
    </row>
    <row r="160" spans="1:12">
      <c r="A160" s="230"/>
      <c r="B160" s="230"/>
      <c r="C160" s="230"/>
      <c r="D160" s="230"/>
      <c r="E160" s="230"/>
      <c r="F160" s="230"/>
      <c r="G160" s="230"/>
      <c r="H160" s="230"/>
      <c r="I160" s="230"/>
      <c r="J160" s="230"/>
      <c r="K160" s="230"/>
      <c r="L160" s="230"/>
    </row>
    <row r="161" spans="1:12">
      <c r="A161" s="230"/>
      <c r="B161" s="230"/>
      <c r="C161" s="230"/>
      <c r="D161" s="230"/>
      <c r="E161" s="230"/>
      <c r="F161" s="230"/>
      <c r="G161" s="230"/>
      <c r="H161" s="230"/>
      <c r="I161" s="230"/>
      <c r="J161" s="230"/>
      <c r="K161" s="230"/>
      <c r="L161" s="230"/>
    </row>
    <row r="162" spans="1:12">
      <c r="A162" s="230"/>
      <c r="B162" s="230"/>
      <c r="C162" s="230"/>
      <c r="D162" s="230"/>
      <c r="E162" s="230"/>
      <c r="F162" s="230"/>
      <c r="G162" s="230"/>
      <c r="H162" s="230"/>
      <c r="I162" s="230"/>
      <c r="J162" s="230"/>
      <c r="K162" s="230"/>
      <c r="L162" s="230"/>
    </row>
    <row r="163" spans="1:12">
      <c r="A163" s="230"/>
      <c r="B163" s="230"/>
      <c r="C163" s="230"/>
      <c r="D163" s="230"/>
      <c r="E163" s="230"/>
      <c r="F163" s="230"/>
      <c r="G163" s="230"/>
      <c r="H163" s="230"/>
      <c r="I163" s="230"/>
      <c r="J163" s="230"/>
      <c r="K163" s="230"/>
      <c r="L163" s="230"/>
    </row>
    <row r="164" spans="1:12">
      <c r="A164" s="230"/>
      <c r="B164" s="230"/>
      <c r="C164" s="230"/>
      <c r="D164" s="230"/>
      <c r="E164" s="230"/>
      <c r="F164" s="230"/>
      <c r="G164" s="230"/>
      <c r="H164" s="230"/>
      <c r="I164" s="230"/>
      <c r="J164" s="230"/>
      <c r="K164" s="230"/>
      <c r="L164" s="230"/>
    </row>
    <row r="165" spans="1:12">
      <c r="A165" s="230"/>
      <c r="B165" s="230"/>
      <c r="C165" s="230"/>
      <c r="D165" s="230"/>
      <c r="E165" s="230"/>
      <c r="F165" s="230"/>
      <c r="G165" s="230"/>
      <c r="H165" s="230"/>
      <c r="I165" s="230"/>
      <c r="J165" s="230"/>
      <c r="K165" s="230"/>
      <c r="L165" s="230"/>
    </row>
    <row r="166" spans="1:12">
      <c r="A166" s="230"/>
      <c r="B166" s="230"/>
      <c r="C166" s="230"/>
      <c r="D166" s="230"/>
      <c r="E166" s="230"/>
      <c r="F166" s="230"/>
      <c r="G166" s="230"/>
      <c r="H166" s="230"/>
      <c r="I166" s="230"/>
      <c r="J166" s="230"/>
      <c r="K166" s="230"/>
      <c r="L166" s="230"/>
    </row>
    <row r="167" spans="1:12">
      <c r="A167" s="230"/>
      <c r="B167" s="230"/>
      <c r="C167" s="230"/>
      <c r="D167" s="230"/>
      <c r="E167" s="230"/>
      <c r="F167" s="230"/>
      <c r="G167" s="230"/>
      <c r="H167" s="230"/>
      <c r="I167" s="230"/>
      <c r="J167" s="230"/>
      <c r="K167" s="230"/>
      <c r="L167" s="230"/>
    </row>
  </sheetData>
  <pageMargins left="0.7" right="0.7" top="0.75" bottom="0.75" header="0.3" footer="0.3"/>
  <pageSetup scale="72" orientation="landscape" cellComments="asDisplayed" r:id="rId1"/>
  <headerFooter>
    <oddHeader>&amp;CSchedule 3
True Up Adjustment
&amp;RTO2021 Annual Update
Attachment 5
TO2018 True Up TRR</oddHeader>
    <oddFooter>&amp;R3-TrueUpAdjust</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72"/>
  <sheetViews>
    <sheetView zoomScaleNormal="100" zoomScalePageLayoutView="8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5.54296875" customWidth="1"/>
    <col min="11" max="11" width="2.54296875" customWidth="1"/>
    <col min="12" max="12" width="14.453125" customWidth="1"/>
    <col min="13" max="13" width="4.453125" customWidth="1"/>
    <col min="14" max="14" width="15.453125" customWidth="1"/>
  </cols>
  <sheetData>
    <row r="1" spans="1:14" ht="13">
      <c r="A1" s="1" t="s">
        <v>1676</v>
      </c>
    </row>
    <row r="2" spans="1:14">
      <c r="H2" s="14"/>
    </row>
    <row r="3" spans="1:14" ht="13">
      <c r="B3" s="83" t="s">
        <v>1479</v>
      </c>
      <c r="L3" s="572"/>
      <c r="M3" s="1048"/>
      <c r="N3" s="1048"/>
    </row>
    <row r="4" spans="1:14" ht="13">
      <c r="B4" s="70"/>
      <c r="F4" s="2" t="s">
        <v>154</v>
      </c>
      <c r="G4" s="2"/>
      <c r="H4" s="2" t="s">
        <v>169</v>
      </c>
      <c r="L4" s="572"/>
      <c r="M4" s="1048"/>
      <c r="N4" s="572"/>
    </row>
    <row r="5" spans="1:14" ht="13">
      <c r="A5" s="53" t="s">
        <v>320</v>
      </c>
      <c r="B5" s="16"/>
      <c r="C5" s="51" t="s">
        <v>152</v>
      </c>
      <c r="F5" s="3" t="s">
        <v>153</v>
      </c>
      <c r="G5" s="3" t="s">
        <v>168</v>
      </c>
      <c r="H5" s="3" t="s">
        <v>170</v>
      </c>
      <c r="J5" s="3" t="s">
        <v>175</v>
      </c>
      <c r="L5" s="3"/>
      <c r="M5" s="1048"/>
      <c r="N5" s="3"/>
    </row>
    <row r="6" spans="1:14" ht="13">
      <c r="A6" s="109">
        <v>1</v>
      </c>
      <c r="B6" s="14"/>
      <c r="C6" s="108" t="s">
        <v>1049</v>
      </c>
      <c r="D6" s="14"/>
      <c r="E6" s="14"/>
      <c r="F6" s="14" t="s">
        <v>10</v>
      </c>
      <c r="G6" s="14"/>
      <c r="H6" s="108" t="str">
        <f>"6-PlantInService, Line "&amp;'6-PlantInService'!A42&amp;""</f>
        <v>6-PlantInService, Line 18</v>
      </c>
      <c r="I6" s="14"/>
      <c r="J6" s="63">
        <f>'6-PlantInService'!D42</f>
        <v>8939630709.3337479</v>
      </c>
      <c r="L6" s="3"/>
      <c r="N6" s="7"/>
    </row>
    <row r="7" spans="1:14" ht="13">
      <c r="A7" s="109">
        <f>A6+1</f>
        <v>2</v>
      </c>
      <c r="B7" s="14"/>
      <c r="C7" s="108" t="s">
        <v>1195</v>
      </c>
      <c r="D7" s="14"/>
      <c r="E7" s="14"/>
      <c r="F7" s="14" t="s">
        <v>155</v>
      </c>
      <c r="G7" s="14"/>
      <c r="H7" s="108" t="str">
        <f>"6-PlantInService, Line "&amp;'6-PlantInService'!A58&amp;""</f>
        <v>6-PlantInService, Line 24</v>
      </c>
      <c r="I7" s="14"/>
      <c r="J7" s="63">
        <f>'6-PlantInService'!F58</f>
        <v>289044062.07088608</v>
      </c>
      <c r="L7" s="3"/>
      <c r="N7" s="7"/>
    </row>
    <row r="8" spans="1:14" ht="13">
      <c r="A8" s="109">
        <f>A7+1</f>
        <v>3</v>
      </c>
      <c r="B8" s="14"/>
      <c r="C8" s="108" t="s">
        <v>157</v>
      </c>
      <c r="D8" s="14"/>
      <c r="E8" s="14"/>
      <c r="F8" s="14" t="s">
        <v>155</v>
      </c>
      <c r="G8" s="14"/>
      <c r="H8" s="14" t="str">
        <f>"11-PHFU, Line "&amp;'11-PHFU'!A41&amp;""</f>
        <v>11-PHFU, Line 9</v>
      </c>
      <c r="I8" s="14"/>
      <c r="J8" s="63">
        <f>'11-PHFU'!D41</f>
        <v>9942155</v>
      </c>
      <c r="L8" s="3"/>
      <c r="N8" s="7"/>
    </row>
    <row r="9" spans="1:14" ht="13">
      <c r="A9" s="109">
        <f>A8+1</f>
        <v>4</v>
      </c>
      <c r="B9" s="14"/>
      <c r="C9" s="108" t="s">
        <v>313</v>
      </c>
      <c r="D9" s="14"/>
      <c r="E9" s="14"/>
      <c r="F9" s="14" t="s">
        <v>155</v>
      </c>
      <c r="G9" s="14"/>
      <c r="H9" s="15" t="str">
        <f>"12-AbandonedPlant Line "&amp;'12-AbandonedPlant'!A21&amp;""</f>
        <v>12-AbandonedPlant Line 4</v>
      </c>
      <c r="I9" s="14"/>
      <c r="J9" s="63">
        <f>'12-AbandonedPlant'!G21</f>
        <v>0</v>
      </c>
      <c r="L9" s="3"/>
      <c r="N9" s="7"/>
    </row>
    <row r="10" spans="1:14" ht="13">
      <c r="A10" s="109"/>
      <c r="B10" s="14"/>
      <c r="C10" s="108"/>
      <c r="D10" s="14"/>
      <c r="E10" s="14"/>
      <c r="F10" s="14"/>
      <c r="G10" s="14"/>
      <c r="H10" s="14"/>
      <c r="I10" s="14"/>
      <c r="J10" s="63"/>
      <c r="L10" s="3"/>
      <c r="N10" s="7"/>
    </row>
    <row r="11" spans="1:14" ht="13">
      <c r="A11" s="109"/>
      <c r="B11" s="14"/>
      <c r="C11" s="45" t="s">
        <v>277</v>
      </c>
      <c r="D11" s="14"/>
      <c r="E11" s="14"/>
      <c r="F11" s="14"/>
      <c r="G11" s="14"/>
      <c r="H11" s="14"/>
      <c r="I11" s="14"/>
      <c r="J11" s="63"/>
      <c r="L11" s="3"/>
      <c r="N11" s="7"/>
    </row>
    <row r="12" spans="1:14" ht="13">
      <c r="A12" s="109">
        <f>A9+1</f>
        <v>5</v>
      </c>
      <c r="B12" s="14"/>
      <c r="C12" s="46" t="s">
        <v>91</v>
      </c>
      <c r="D12" s="14"/>
      <c r="E12" s="14"/>
      <c r="F12" s="14" t="s">
        <v>10</v>
      </c>
      <c r="G12" s="14"/>
      <c r="H12" s="108" t="str">
        <f>"13-WorkCap, Line "&amp;'13-WorkCap'!A27&amp;""</f>
        <v>13-WorkCap, Line 17</v>
      </c>
      <c r="I12" s="14"/>
      <c r="J12" s="63">
        <f>'13-WorkCap'!F27</f>
        <v>21481204.872946855</v>
      </c>
      <c r="L12" s="3"/>
      <c r="N12" s="7"/>
    </row>
    <row r="13" spans="1:14" ht="13">
      <c r="A13" s="109">
        <f>A12+1</f>
        <v>6</v>
      </c>
      <c r="B13" s="14"/>
      <c r="C13" s="112" t="s">
        <v>92</v>
      </c>
      <c r="D13" s="14"/>
      <c r="E13" s="14"/>
      <c r="F13" s="14" t="s">
        <v>10</v>
      </c>
      <c r="G13" s="14"/>
      <c r="H13" s="108" t="str">
        <f>"13-WorkCap, Line "&amp;'13-WorkCap'!A51&amp;""</f>
        <v>13-WorkCap, Line 33</v>
      </c>
      <c r="I13" s="14"/>
      <c r="J13" s="63">
        <f>'13-WorkCap'!F51</f>
        <v>21290573.843281552</v>
      </c>
      <c r="L13" s="3"/>
      <c r="N13" s="7"/>
    </row>
    <row r="14" spans="1:14" ht="13">
      <c r="A14" s="109">
        <f>A13+1</f>
        <v>7</v>
      </c>
      <c r="B14" s="14"/>
      <c r="C14" s="46" t="s">
        <v>172</v>
      </c>
      <c r="D14" s="14"/>
      <c r="E14" s="14"/>
      <c r="F14" s="478" t="s">
        <v>2449</v>
      </c>
      <c r="G14" s="14"/>
      <c r="H14" s="14" t="str">
        <f>"1-Base TRR Line "&amp;'1-BaseTRR'!A17&amp;""</f>
        <v>1-Base TRR Line 7</v>
      </c>
      <c r="I14" s="14"/>
      <c r="J14" s="100">
        <f>'1-BaseTRR'!K17</f>
        <v>24479385.852552179</v>
      </c>
      <c r="L14" s="3"/>
      <c r="N14" s="7"/>
    </row>
    <row r="15" spans="1:14" ht="13">
      <c r="A15" s="109">
        <f>A14+1</f>
        <v>8</v>
      </c>
      <c r="B15" s="14"/>
      <c r="C15" s="46" t="s">
        <v>90</v>
      </c>
      <c r="D15" s="14"/>
      <c r="E15" s="14"/>
      <c r="F15" s="14"/>
      <c r="G15" s="14"/>
      <c r="H15" s="14" t="str">
        <f>"Line "&amp;A12&amp;" + Line "&amp;A13&amp;" + Line "&amp;A14&amp;""</f>
        <v>Line 5 + Line 6 + Line 7</v>
      </c>
      <c r="I15" s="14"/>
      <c r="J15" s="63">
        <f>SUM(J12:J14)</f>
        <v>67251164.568780586</v>
      </c>
      <c r="L15" s="3"/>
      <c r="N15" s="7"/>
    </row>
    <row r="16" spans="1:14" ht="13">
      <c r="A16" s="109"/>
      <c r="B16" s="14"/>
      <c r="C16" s="46"/>
      <c r="D16" s="14"/>
      <c r="E16" s="14"/>
      <c r="F16" s="14"/>
      <c r="G16" s="14"/>
      <c r="H16" s="14"/>
      <c r="I16" s="14"/>
      <c r="J16" s="63"/>
      <c r="L16" s="3"/>
      <c r="N16" s="7"/>
    </row>
    <row r="17" spans="1:14" ht="13">
      <c r="A17" s="109"/>
      <c r="B17" s="14"/>
      <c r="C17" s="926" t="s">
        <v>278</v>
      </c>
      <c r="D17" s="14"/>
      <c r="E17" s="14"/>
      <c r="F17" s="14"/>
      <c r="G17" s="14"/>
      <c r="H17" s="14"/>
      <c r="I17" s="14"/>
      <c r="J17" s="63"/>
      <c r="L17" s="3"/>
      <c r="N17" s="7"/>
    </row>
    <row r="18" spans="1:14" ht="13">
      <c r="A18" s="109">
        <f>A15+1</f>
        <v>9</v>
      </c>
      <c r="B18" s="14"/>
      <c r="C18" s="475" t="s">
        <v>1647</v>
      </c>
      <c r="D18" s="14"/>
      <c r="E18" s="14"/>
      <c r="F18" s="14" t="s">
        <v>10</v>
      </c>
      <c r="G18" s="14" t="s">
        <v>151</v>
      </c>
      <c r="H18" s="108" t="str">
        <f>"8-AccDep, Line "&amp;'8-AccDep'!A25&amp;", Col. 12"</f>
        <v>8-AccDep, Line 14, Col. 12</v>
      </c>
      <c r="I18" s="14"/>
      <c r="J18" s="63">
        <f>-'8-AccDep'!N25</f>
        <v>-1839774172.2805853</v>
      </c>
      <c r="L18" s="3"/>
      <c r="N18" s="7"/>
    </row>
    <row r="19" spans="1:14" ht="13">
      <c r="A19" s="109">
        <f>A18+1</f>
        <v>10</v>
      </c>
      <c r="B19" s="14"/>
      <c r="C19" s="475" t="s">
        <v>1648</v>
      </c>
      <c r="D19" s="14"/>
      <c r="E19" s="14"/>
      <c r="F19" s="14" t="s">
        <v>155</v>
      </c>
      <c r="G19" s="14" t="s">
        <v>151</v>
      </c>
      <c r="H19" s="108" t="str">
        <f>"8-AccDep, Line "&amp;'8-AccDep'!A35&amp;", Col. 5"</f>
        <v>8-AccDep, Line 17, Col. 5</v>
      </c>
      <c r="I19" s="14"/>
      <c r="J19" s="63">
        <f>-'8-AccDep'!G35</f>
        <v>0</v>
      </c>
      <c r="L19" s="3"/>
      <c r="N19" s="7"/>
    </row>
    <row r="20" spans="1:14" ht="13">
      <c r="A20" s="109">
        <f>A19+1</f>
        <v>11</v>
      </c>
      <c r="B20" s="14"/>
      <c r="C20" s="46" t="s">
        <v>308</v>
      </c>
      <c r="D20" s="22"/>
      <c r="E20" s="14"/>
      <c r="F20" s="14" t="s">
        <v>155</v>
      </c>
      <c r="G20" s="14" t="s">
        <v>151</v>
      </c>
      <c r="H20" s="108" t="str">
        <f>"8-AccDep, Line "&amp;'8-AccDep'!A53&amp;""</f>
        <v>8-AccDep, Line 23</v>
      </c>
      <c r="I20" s="14"/>
      <c r="J20" s="100">
        <f>-'8-AccDep'!F53</f>
        <v>-105831142.34877566</v>
      </c>
      <c r="L20" s="3"/>
      <c r="N20" s="7"/>
    </row>
    <row r="21" spans="1:14" ht="13">
      <c r="A21" s="109">
        <f>A20+1</f>
        <v>12</v>
      </c>
      <c r="B21" s="14"/>
      <c r="C21" s="927" t="s">
        <v>163</v>
      </c>
      <c r="D21" s="22"/>
      <c r="E21" s="14"/>
      <c r="F21" s="14"/>
      <c r="G21" s="14"/>
      <c r="H21" s="14" t="str">
        <f>"Line "&amp;A18&amp;" + Line "&amp;A19&amp;" + Line "&amp;A20&amp;""</f>
        <v>Line 9 + Line 10 + Line 11</v>
      </c>
      <c r="I21" s="14"/>
      <c r="J21" s="63">
        <f>SUM(J18:J20)</f>
        <v>-1945605314.6293609</v>
      </c>
      <c r="L21" s="3"/>
      <c r="N21" s="7"/>
    </row>
    <row r="22" spans="1:14" ht="13">
      <c r="A22" s="109"/>
      <c r="B22" s="14"/>
      <c r="C22" s="15"/>
      <c r="D22" s="14"/>
      <c r="E22" s="14"/>
      <c r="F22" s="14"/>
      <c r="G22" s="14"/>
      <c r="H22" s="14"/>
      <c r="I22" s="14"/>
      <c r="J22" s="63"/>
      <c r="L22" s="3"/>
      <c r="N22" s="7"/>
    </row>
    <row r="23" spans="1:14" ht="13">
      <c r="A23" s="109">
        <f>A21+1</f>
        <v>13</v>
      </c>
      <c r="B23" s="14"/>
      <c r="C23" s="916" t="s">
        <v>164</v>
      </c>
      <c r="D23" s="14"/>
      <c r="E23" s="14"/>
      <c r="F23" s="14" t="s">
        <v>155</v>
      </c>
      <c r="G23" s="14"/>
      <c r="H23" s="108" t="str">
        <f>"9-ADIT, Line "&amp;'9-ADIT'!A24&amp;""</f>
        <v>9-ADIT, Line 15</v>
      </c>
      <c r="I23" s="14"/>
      <c r="J23" s="63">
        <f>'9-ADIT'!D24</f>
        <v>-1632853304.2368784</v>
      </c>
      <c r="L23" s="3"/>
      <c r="N23" s="7"/>
    </row>
    <row r="24" spans="1:14" ht="13">
      <c r="A24" s="109">
        <f>A23+1</f>
        <v>14</v>
      </c>
      <c r="B24" s="14"/>
      <c r="C24" s="108" t="s">
        <v>240</v>
      </c>
      <c r="D24" s="14"/>
      <c r="E24" s="14"/>
      <c r="F24" s="14" t="s">
        <v>10</v>
      </c>
      <c r="G24" s="14"/>
      <c r="H24" s="108" t="str">
        <f>"14-IncentivePlant, L "&amp;'14-IncentivePlant'!A37&amp;", C2"</f>
        <v>14-IncentivePlant, L 12, C2</v>
      </c>
      <c r="I24" s="14"/>
      <c r="J24" s="63">
        <f>'14-IncentivePlant'!F37</f>
        <v>602185189.09144735</v>
      </c>
      <c r="L24" s="3"/>
      <c r="N24" s="7"/>
    </row>
    <row r="25" spans="1:14" ht="13">
      <c r="A25" s="109">
        <f>A24+1</f>
        <v>15</v>
      </c>
      <c r="B25" s="14"/>
      <c r="C25" s="916" t="s">
        <v>55</v>
      </c>
      <c r="D25" s="14"/>
      <c r="E25" s="14"/>
      <c r="F25" s="14" t="s">
        <v>155</v>
      </c>
      <c r="G25" s="14" t="s">
        <v>151</v>
      </c>
      <c r="H25" s="108" t="str">
        <f>"22-NUCs, Line "&amp;'22-NUCs'!A15&amp;""</f>
        <v>22-NUCs, Line 7</v>
      </c>
      <c r="I25" s="14"/>
      <c r="J25" s="63">
        <f>-'22-NUCs'!E15</f>
        <v>-50661304.942000374</v>
      </c>
      <c r="L25" s="3"/>
      <c r="N25" s="7"/>
    </row>
    <row r="26" spans="1:14" ht="13">
      <c r="A26" s="109">
        <f>A25+1</f>
        <v>16</v>
      </c>
      <c r="B26" s="14"/>
      <c r="C26" s="917" t="s">
        <v>1963</v>
      </c>
      <c r="D26" s="14"/>
      <c r="E26" s="14"/>
      <c r="F26" s="14"/>
      <c r="G26" s="14"/>
      <c r="H26" s="15" t="str">
        <f>"34-UnfundedReserves, Line "&amp;'34-UnfundedReserves'!A10&amp;""</f>
        <v>34-UnfundedReserves, Line 7</v>
      </c>
      <c r="I26" s="14"/>
      <c r="J26" s="63">
        <f>'34-UnfundedReserves'!K10</f>
        <v>-192838264.25105909</v>
      </c>
      <c r="L26" s="3"/>
      <c r="N26" s="7"/>
    </row>
    <row r="27" spans="1:14" ht="13">
      <c r="A27" s="109">
        <f>A26+1</f>
        <v>17</v>
      </c>
      <c r="B27" s="14"/>
      <c r="C27" s="916" t="s">
        <v>363</v>
      </c>
      <c r="D27" s="14"/>
      <c r="E27" s="14"/>
      <c r="F27" s="14" t="s">
        <v>155</v>
      </c>
      <c r="G27" s="14"/>
      <c r="H27" s="108" t="str">
        <f>"23-RegAssets, Line "&amp;'23-RegAssets'!A18&amp;""</f>
        <v>23-RegAssets, Line 15</v>
      </c>
      <c r="I27" s="14"/>
      <c r="J27" s="63">
        <f>'23-RegAssets'!E18</f>
        <v>0</v>
      </c>
      <c r="L27" s="3"/>
      <c r="N27" s="7"/>
    </row>
    <row r="28" spans="1:14" ht="13">
      <c r="A28" s="109"/>
      <c r="B28" s="14"/>
      <c r="C28" s="916"/>
      <c r="D28" s="14"/>
      <c r="E28" s="14"/>
      <c r="F28" s="14"/>
      <c r="G28" s="14"/>
      <c r="H28" s="14"/>
      <c r="I28" s="14"/>
      <c r="J28" s="14"/>
      <c r="L28" s="3"/>
      <c r="N28" s="7"/>
    </row>
    <row r="29" spans="1:14" ht="13">
      <c r="A29" s="109">
        <f>A27+1</f>
        <v>18</v>
      </c>
      <c r="B29" s="14"/>
      <c r="C29" s="14" t="s">
        <v>173</v>
      </c>
      <c r="D29" s="14"/>
      <c r="E29" s="14"/>
      <c r="F29" s="14"/>
      <c r="G29" s="14"/>
      <c r="H29" s="14" t="str">
        <f>"L"&amp;A6&amp;"+L"&amp;A7&amp;"+L"&amp;A8&amp;"+L"&amp;A9&amp;"+L"&amp;A15&amp;"+L"&amp;A21&amp;"+"</f>
        <v>L1+L2+L3+L4+L8+L12+</v>
      </c>
      <c r="I29" s="14"/>
      <c r="J29" s="63">
        <f>J6+ J7+J8+J9+J15+J21+J23+J24+J25+J26+J27</f>
        <v>6086095092.0055637</v>
      </c>
      <c r="L29" s="3"/>
      <c r="N29" s="7"/>
    </row>
    <row r="30" spans="1:14" ht="13">
      <c r="A30" s="109"/>
      <c r="B30" s="14"/>
      <c r="C30" s="14"/>
      <c r="D30" s="14"/>
      <c r="E30" s="14"/>
      <c r="F30" s="14"/>
      <c r="G30" s="14"/>
      <c r="H30" s="14" t="str">
        <f>"L"&amp;A23&amp;"+L"&amp;A24&amp;"+L"&amp;A25&amp;"+L"&amp;A26&amp;"+L"&amp;A27&amp;""</f>
        <v>L13+L14+L15+L16+L17</v>
      </c>
      <c r="I30" s="14"/>
      <c r="J30" s="63"/>
      <c r="L30" s="3"/>
      <c r="N30" s="7"/>
    </row>
    <row r="31" spans="1:14" ht="13">
      <c r="A31" s="109"/>
      <c r="B31" s="44" t="s">
        <v>2165</v>
      </c>
      <c r="D31" s="14"/>
      <c r="E31" s="14"/>
      <c r="F31" s="14"/>
      <c r="G31" s="14"/>
      <c r="H31" s="14"/>
      <c r="I31" s="14"/>
      <c r="J31" s="63"/>
      <c r="L31" s="3"/>
      <c r="N31" s="7"/>
    </row>
    <row r="32" spans="1:14" ht="13">
      <c r="A32" s="558" t="s">
        <v>320</v>
      </c>
      <c r="B32" s="14"/>
      <c r="C32" s="44"/>
      <c r="D32" s="14"/>
      <c r="E32" s="14"/>
      <c r="F32" s="14"/>
      <c r="G32" s="14"/>
      <c r="H32" s="14"/>
      <c r="I32" s="14"/>
      <c r="J32" s="63"/>
      <c r="L32" s="3"/>
      <c r="N32" s="7"/>
    </row>
    <row r="33" spans="1:14" ht="13">
      <c r="A33" s="109">
        <f>A29+1</f>
        <v>19</v>
      </c>
      <c r="B33" s="478"/>
      <c r="C33" s="478" t="s">
        <v>53</v>
      </c>
      <c r="D33" s="478"/>
      <c r="E33" s="478"/>
      <c r="F33" s="478"/>
      <c r="G33" s="478" t="s">
        <v>1839</v>
      </c>
      <c r="H33" s="478" t="str">
        <f>"Instruction 1, Line "&amp;B98&amp;""</f>
        <v>Instruction 1, Line j</v>
      </c>
      <c r="I33" s="478"/>
      <c r="J33" s="401">
        <f>E98</f>
        <v>7.5731353457413608E-2</v>
      </c>
      <c r="L33" s="3"/>
      <c r="M33" s="8"/>
      <c r="N33" s="7"/>
    </row>
    <row r="34" spans="1:14" ht="13">
      <c r="A34" s="2">
        <f>A33+1</f>
        <v>20</v>
      </c>
      <c r="C34" s="15" t="s">
        <v>54</v>
      </c>
      <c r="D34" s="15"/>
      <c r="E34" s="15"/>
      <c r="F34" s="15"/>
      <c r="G34" s="15"/>
      <c r="H34" t="str">
        <f>"Line "&amp;A29&amp;" * Line "&amp;A33&amp;""</f>
        <v>Line 18 * Line 19</v>
      </c>
      <c r="J34" s="47">
        <f>J29*J33</f>
        <v>460908218.58810353</v>
      </c>
      <c r="L34" s="3"/>
      <c r="N34" s="7"/>
    </row>
    <row r="35" spans="1:14" ht="13">
      <c r="A35" s="2"/>
      <c r="B35" s="16"/>
      <c r="J35" s="14"/>
      <c r="L35" s="3"/>
      <c r="N35" s="7"/>
    </row>
    <row r="36" spans="1:14" ht="13">
      <c r="A36" s="2"/>
      <c r="B36" s="1" t="s">
        <v>2166</v>
      </c>
      <c r="J36" s="14"/>
      <c r="L36" s="3"/>
      <c r="N36" s="7"/>
    </row>
    <row r="37" spans="1:14" ht="13">
      <c r="A37" s="109"/>
      <c r="B37" s="112"/>
      <c r="C37" s="14"/>
      <c r="D37" s="14"/>
      <c r="E37" s="14"/>
      <c r="F37" s="14"/>
      <c r="G37" s="14"/>
      <c r="H37" s="14"/>
      <c r="I37" s="14"/>
      <c r="J37" s="14"/>
      <c r="L37" s="3"/>
      <c r="N37" s="7"/>
    </row>
    <row r="38" spans="1:14" ht="13">
      <c r="A38" s="109">
        <f>A34+1</f>
        <v>21</v>
      </c>
      <c r="B38" s="14"/>
      <c r="C38" s="478" t="s">
        <v>2152</v>
      </c>
      <c r="D38" s="14"/>
      <c r="E38" s="14"/>
      <c r="F38" s="14"/>
      <c r="G38" s="14"/>
      <c r="H38" s="14"/>
      <c r="I38" s="14"/>
      <c r="J38" s="63">
        <f>(((J29*J42) + J45) *(J43/(1-J43)))+(J44/(1-J43))</f>
        <v>91500811.477756053</v>
      </c>
      <c r="L38" s="3"/>
      <c r="N38" s="7"/>
    </row>
    <row r="39" spans="1:14" ht="13">
      <c r="A39" s="109"/>
      <c r="B39" s="14"/>
      <c r="C39" s="14"/>
      <c r="D39" s="14"/>
      <c r="E39" s="14"/>
      <c r="F39" s="14"/>
      <c r="G39" s="14"/>
      <c r="H39" s="14"/>
      <c r="I39" s="14"/>
      <c r="J39" s="15"/>
      <c r="L39" s="3"/>
      <c r="N39" s="7"/>
    </row>
    <row r="40" spans="1:14" ht="13">
      <c r="A40" s="109"/>
      <c r="B40" s="14"/>
      <c r="C40" s="14"/>
      <c r="D40" s="14" t="s">
        <v>216</v>
      </c>
      <c r="E40" s="14"/>
      <c r="F40" s="14"/>
      <c r="G40" s="14"/>
      <c r="H40" s="14"/>
      <c r="I40" s="14"/>
      <c r="J40" s="14"/>
      <c r="L40" s="3"/>
      <c r="N40" s="7"/>
    </row>
    <row r="41" spans="1:14" ht="13">
      <c r="A41" s="109">
        <f>A38+1</f>
        <v>22</v>
      </c>
      <c r="B41" s="14"/>
      <c r="C41" s="14"/>
      <c r="D41" s="112" t="s">
        <v>217</v>
      </c>
      <c r="E41" s="14"/>
      <c r="F41" s="14"/>
      <c r="G41" s="14"/>
      <c r="H41" s="14" t="str">
        <f>"Line "&amp;A29&amp;""</f>
        <v>Line 18</v>
      </c>
      <c r="I41" s="14"/>
      <c r="J41" s="63">
        <f>J29</f>
        <v>6086095092.0055637</v>
      </c>
      <c r="L41" s="3"/>
      <c r="N41" s="7"/>
    </row>
    <row r="42" spans="1:14" ht="13">
      <c r="A42" s="109">
        <f>A41+1</f>
        <v>23</v>
      </c>
      <c r="B42" s="14"/>
      <c r="C42" s="14"/>
      <c r="D42" s="475" t="s">
        <v>1723</v>
      </c>
      <c r="E42" s="14"/>
      <c r="F42" s="14"/>
      <c r="G42" s="478" t="s">
        <v>1692</v>
      </c>
      <c r="H42" s="478" t="str">
        <f>"Instruction 1, Line "&amp;B103&amp;""</f>
        <v>Instruction 1, Line k</v>
      </c>
      <c r="I42" s="14"/>
      <c r="J42" s="48">
        <f>E103</f>
        <v>5.3927439169434502E-2</v>
      </c>
      <c r="L42" s="3"/>
      <c r="M42" s="8"/>
      <c r="N42" s="7"/>
    </row>
    <row r="43" spans="1:14" ht="13">
      <c r="A43" s="109">
        <f>A42+1</f>
        <v>24</v>
      </c>
      <c r="B43" s="14"/>
      <c r="C43" s="14"/>
      <c r="D43" s="112" t="s">
        <v>218</v>
      </c>
      <c r="E43" s="14"/>
      <c r="F43" s="14"/>
      <c r="G43" s="14"/>
      <c r="H43" s="14" t="str">
        <f>"1-Base TRR L "&amp;'1-BaseTRR'!A102&amp;""</f>
        <v>1-Base TRR L 59</v>
      </c>
      <c r="I43" s="14"/>
      <c r="J43" s="67">
        <f>'1-BaseTRR'!K102</f>
        <v>0.27983599999999997</v>
      </c>
      <c r="L43" s="3"/>
      <c r="M43" s="8"/>
      <c r="N43" s="7"/>
    </row>
    <row r="44" spans="1:14" ht="13">
      <c r="A44" s="109">
        <f>A43+1</f>
        <v>25</v>
      </c>
      <c r="B44" s="14"/>
      <c r="C44" s="14"/>
      <c r="D44" s="112" t="s">
        <v>219</v>
      </c>
      <c r="E44" s="14"/>
      <c r="F44" s="14"/>
      <c r="G44" s="14"/>
      <c r="H44" s="14" t="str">
        <f>"1-Base TRR L "&amp;'1-BaseTRR'!A108&amp;""</f>
        <v>1-Base TRR L 63</v>
      </c>
      <c r="I44" s="14"/>
      <c r="J44" s="63">
        <f>'1-BaseTRR'!K108</f>
        <v>-27044842</v>
      </c>
      <c r="L44" s="3"/>
      <c r="N44" s="7"/>
    </row>
    <row r="45" spans="1:14" ht="13">
      <c r="A45" s="109">
        <f>A44+1</f>
        <v>26</v>
      </c>
      <c r="B45" s="14"/>
      <c r="C45" s="14"/>
      <c r="D45" s="112" t="s">
        <v>1719</v>
      </c>
      <c r="E45" s="14"/>
      <c r="F45" s="14"/>
      <c r="G45" s="14"/>
      <c r="H45" s="14" t="str">
        <f>"1-Base TRR L "&amp;'1-BaseTRR'!A112&amp;""</f>
        <v>1-Base TRR L 65</v>
      </c>
      <c r="I45" s="14"/>
      <c r="J45" s="490">
        <f>'1-BaseTRR'!K119</f>
        <v>3917123</v>
      </c>
      <c r="L45" s="3"/>
      <c r="N45" s="7"/>
    </row>
    <row r="46" spans="1:14" ht="13">
      <c r="A46" s="109"/>
      <c r="B46" s="112"/>
      <c r="C46" s="14"/>
      <c r="D46" s="14"/>
      <c r="E46" s="14"/>
      <c r="F46" s="14"/>
      <c r="G46" s="14"/>
      <c r="H46" s="14"/>
      <c r="I46" s="14"/>
      <c r="J46" s="14"/>
      <c r="L46" s="3"/>
      <c r="N46" s="7"/>
    </row>
    <row r="47" spans="1:14" ht="13">
      <c r="A47" s="109"/>
      <c r="B47" s="44" t="s">
        <v>2167</v>
      </c>
      <c r="D47" s="14"/>
      <c r="E47" s="14"/>
      <c r="F47" s="14"/>
      <c r="G47" s="14"/>
      <c r="H47" s="14"/>
      <c r="I47" s="14"/>
      <c r="J47" s="14"/>
      <c r="L47" s="3"/>
      <c r="N47" s="7"/>
    </row>
    <row r="48" spans="1:14" ht="13">
      <c r="A48" s="109">
        <f>A45+1</f>
        <v>27</v>
      </c>
      <c r="B48" s="112"/>
      <c r="C48" s="14" t="s">
        <v>101</v>
      </c>
      <c r="D48" s="14"/>
      <c r="E48" s="14"/>
      <c r="F48" s="14"/>
      <c r="G48" s="14"/>
      <c r="H48" s="14" t="str">
        <f>"1-Base TRR L "&amp;'1-BaseTRR'!A124&amp;""</f>
        <v>1-Base TRR L 66</v>
      </c>
      <c r="I48" s="14"/>
      <c r="J48" s="63">
        <f>'1-BaseTRR'!K124</f>
        <v>112781173.69267865</v>
      </c>
      <c r="L48" s="3"/>
      <c r="N48" s="7"/>
    </row>
    <row r="49" spans="1:14" ht="13">
      <c r="A49" s="109">
        <f t="shared" ref="A49:A59" si="0">A48+1</f>
        <v>28</v>
      </c>
      <c r="B49" s="112"/>
      <c r="C49" s="15" t="s">
        <v>264</v>
      </c>
      <c r="D49" s="14"/>
      <c r="E49" s="14"/>
      <c r="F49" s="14"/>
      <c r="G49" s="14"/>
      <c r="H49" s="14" t="str">
        <f>"1-Base TRR L "&amp;'1-BaseTRR'!A125&amp;""</f>
        <v>1-Base TRR L 67</v>
      </c>
      <c r="I49" s="14"/>
      <c r="J49" s="63">
        <f>'1-BaseTRR'!K125</f>
        <v>83053913.127738789</v>
      </c>
      <c r="L49" s="3"/>
      <c r="N49" s="7"/>
    </row>
    <row r="50" spans="1:14" ht="13">
      <c r="A50" s="109">
        <f>A49+1</f>
        <v>29</v>
      </c>
      <c r="B50" s="112"/>
      <c r="C50" s="14" t="s">
        <v>56</v>
      </c>
      <c r="D50" s="14"/>
      <c r="E50" s="14"/>
      <c r="F50" s="14"/>
      <c r="G50" s="14"/>
      <c r="H50" s="14" t="str">
        <f>"1-Base TRR L "&amp;'1-BaseTRR'!A126&amp;""</f>
        <v>1-Base TRR L 68</v>
      </c>
      <c r="I50" s="14"/>
      <c r="J50" s="63">
        <f>'1-BaseTRR'!K126</f>
        <v>4075483.5901751588</v>
      </c>
      <c r="L50" s="3"/>
      <c r="N50" s="7"/>
    </row>
    <row r="51" spans="1:14" ht="13">
      <c r="A51" s="109">
        <f t="shared" si="0"/>
        <v>30</v>
      </c>
      <c r="B51" s="112"/>
      <c r="C51" s="15" t="s">
        <v>250</v>
      </c>
      <c r="D51" s="14"/>
      <c r="E51" s="14"/>
      <c r="F51" s="14"/>
      <c r="G51" s="14"/>
      <c r="H51" s="14" t="str">
        <f>"1-Base TRR L "&amp;'1-BaseTRR'!A127&amp;""</f>
        <v>1-Base TRR L 69</v>
      </c>
      <c r="I51" s="14"/>
      <c r="J51" s="63">
        <f>'1-BaseTRR'!K127</f>
        <v>255157633.3971031</v>
      </c>
      <c r="L51" s="3"/>
      <c r="N51" s="7"/>
    </row>
    <row r="52" spans="1:14" ht="13">
      <c r="A52" s="109">
        <f t="shared" si="0"/>
        <v>31</v>
      </c>
      <c r="B52" s="112"/>
      <c r="C52" s="15" t="s">
        <v>292</v>
      </c>
      <c r="D52" s="14"/>
      <c r="E52" s="14"/>
      <c r="F52" s="14"/>
      <c r="G52" s="14"/>
      <c r="H52" s="14" t="str">
        <f>"1-Base TRR L "&amp;'1-BaseTRR'!A128&amp;""</f>
        <v>1-Base TRR L 70</v>
      </c>
      <c r="I52" s="14"/>
      <c r="J52" s="63">
        <f>'1-BaseTRR'!K128</f>
        <v>0</v>
      </c>
      <c r="L52" s="3"/>
      <c r="N52" s="7"/>
    </row>
    <row r="53" spans="1:14" ht="13">
      <c r="A53" s="109">
        <f t="shared" si="0"/>
        <v>32</v>
      </c>
      <c r="B53" s="112"/>
      <c r="C53" s="15" t="s">
        <v>79</v>
      </c>
      <c r="D53" s="14"/>
      <c r="E53" s="14"/>
      <c r="F53" s="14"/>
      <c r="G53" s="14"/>
      <c r="H53" s="14" t="str">
        <f>"1-Base TRR L "&amp;'1-BaseTRR'!A129&amp;""</f>
        <v>1-Base TRR L 71</v>
      </c>
      <c r="I53" s="14"/>
      <c r="J53" s="63">
        <f>'1-BaseTRR'!K129</f>
        <v>66058181.16746673</v>
      </c>
      <c r="L53" s="3"/>
      <c r="N53" s="7"/>
    </row>
    <row r="54" spans="1:14" ht="13">
      <c r="A54" s="109">
        <f t="shared" si="0"/>
        <v>33</v>
      </c>
      <c r="B54" s="112"/>
      <c r="C54" s="14" t="s">
        <v>11</v>
      </c>
      <c r="D54" s="14"/>
      <c r="E54" s="14"/>
      <c r="F54" s="14"/>
      <c r="G54" s="15"/>
      <c r="H54" s="14" t="str">
        <f>"1-Base TRR L "&amp;'1-BaseTRR'!A130&amp;""</f>
        <v>1-Base TRR L 72</v>
      </c>
      <c r="I54" s="14"/>
      <c r="J54" s="63">
        <f>'1-BaseTRR'!K130</f>
        <v>-54094032.244774804</v>
      </c>
      <c r="L54" s="3"/>
      <c r="N54" s="7"/>
    </row>
    <row r="55" spans="1:14" ht="13">
      <c r="A55" s="109">
        <f t="shared" si="0"/>
        <v>34</v>
      </c>
      <c r="B55" s="112"/>
      <c r="C55" s="14" t="s">
        <v>87</v>
      </c>
      <c r="D55" s="14"/>
      <c r="E55" s="14"/>
      <c r="F55" s="14"/>
      <c r="G55" s="14"/>
      <c r="H55" s="14" t="str">
        <f>"Line "&amp;A34&amp;""</f>
        <v>Line 20</v>
      </c>
      <c r="I55" s="14"/>
      <c r="J55" s="63">
        <f>J34</f>
        <v>460908218.58810353</v>
      </c>
      <c r="L55" s="3"/>
      <c r="N55" s="7"/>
    </row>
    <row r="56" spans="1:14" ht="13">
      <c r="A56" s="109">
        <f t="shared" si="0"/>
        <v>35</v>
      </c>
      <c r="B56" s="112"/>
      <c r="C56" s="14" t="s">
        <v>5</v>
      </c>
      <c r="D56" s="14"/>
      <c r="E56" s="14"/>
      <c r="F56" s="14"/>
      <c r="G56" s="14"/>
      <c r="H56" s="14" t="str">
        <f>"Line "&amp;A38&amp;""</f>
        <v>Line 21</v>
      </c>
      <c r="I56" s="14"/>
      <c r="J56" s="47">
        <f>J38</f>
        <v>91500811.477756053</v>
      </c>
      <c r="L56" s="3"/>
      <c r="N56" s="7"/>
    </row>
    <row r="57" spans="1:14" ht="13">
      <c r="A57" s="109">
        <f t="shared" si="0"/>
        <v>36</v>
      </c>
      <c r="B57" s="112"/>
      <c r="C57" s="15" t="s">
        <v>358</v>
      </c>
      <c r="D57" s="14"/>
      <c r="E57" s="14"/>
      <c r="F57" s="14"/>
      <c r="G57" s="14"/>
      <c r="H57" s="14" t="str">
        <f>"1-Base TRR L "&amp;'1-BaseTRR'!A133&amp;""</f>
        <v>1-Base TRR L 75</v>
      </c>
      <c r="I57" s="14"/>
      <c r="J57" s="47">
        <f>'1-BaseTRR'!K133</f>
        <v>0</v>
      </c>
      <c r="L57" s="3"/>
      <c r="N57" s="7"/>
    </row>
    <row r="58" spans="1:14" ht="13">
      <c r="A58" s="109">
        <f t="shared" si="0"/>
        <v>37</v>
      </c>
      <c r="B58" s="112"/>
      <c r="C58" s="588" t="s">
        <v>1708</v>
      </c>
      <c r="D58" s="700"/>
      <c r="E58" s="14"/>
      <c r="F58" s="14"/>
      <c r="G58" s="14"/>
      <c r="H58" s="14" t="str">
        <f>"1-Base TRR L "&amp;'1-BaseTRR'!A134&amp;""</f>
        <v>1-Base TRR L 76</v>
      </c>
      <c r="I58" s="14"/>
      <c r="J58" s="100">
        <f>'1-BaseTRR'!K134</f>
        <v>0</v>
      </c>
      <c r="L58" s="3"/>
      <c r="N58" s="7"/>
    </row>
    <row r="59" spans="1:14" ht="13">
      <c r="A59" s="109">
        <f t="shared" si="0"/>
        <v>38</v>
      </c>
      <c r="B59" s="112"/>
      <c r="C59" s="478" t="s">
        <v>1480</v>
      </c>
      <c r="D59" s="14"/>
      <c r="E59" s="14"/>
      <c r="F59" s="14"/>
      <c r="G59" s="14"/>
      <c r="H59" s="14" t="str">
        <f>"Sum Line "&amp;A48&amp;" to Line "&amp;A58&amp;""</f>
        <v>Sum Line 27 to Line 37</v>
      </c>
      <c r="I59" s="14"/>
      <c r="J59" s="730">
        <f>SUM(J48:J58)</f>
        <v>1019441382.7962471</v>
      </c>
      <c r="L59" s="3"/>
      <c r="N59" s="7"/>
    </row>
    <row r="60" spans="1:14" ht="13">
      <c r="A60" s="109"/>
      <c r="B60" s="112"/>
      <c r="C60" s="14"/>
      <c r="D60" s="14"/>
      <c r="E60" s="14"/>
      <c r="F60" s="14"/>
      <c r="G60" s="14"/>
      <c r="H60" s="14"/>
      <c r="I60" s="14"/>
      <c r="J60" s="63"/>
      <c r="L60" s="3"/>
      <c r="N60" s="7"/>
    </row>
    <row r="61" spans="1:14" ht="12.75" customHeight="1">
      <c r="A61" s="109">
        <f>A59+1</f>
        <v>39</v>
      </c>
      <c r="B61" s="112"/>
      <c r="C61" s="478" t="s">
        <v>1457</v>
      </c>
      <c r="D61" s="14"/>
      <c r="E61" s="14"/>
      <c r="F61" s="14"/>
      <c r="G61" s="14"/>
      <c r="H61" s="14" t="str">
        <f>"15-IncentiveAdder L "&amp;'15-IncentiveAdder'!A59&amp;""</f>
        <v>15-IncentiveAdder L 20</v>
      </c>
      <c r="I61" s="14"/>
      <c r="J61" s="63">
        <f>'15-IncentiveAdder'!G59</f>
        <v>25263750.677767433</v>
      </c>
      <c r="L61" s="3"/>
      <c r="N61" s="7"/>
    </row>
    <row r="62" spans="1:14" s="1048" customFormat="1" ht="12.75" customHeight="1">
      <c r="A62" s="109" t="s">
        <v>2583</v>
      </c>
      <c r="B62" s="476"/>
      <c r="C62" s="478" t="s">
        <v>2584</v>
      </c>
      <c r="D62" s="478"/>
      <c r="E62" s="478"/>
      <c r="F62" s="478"/>
      <c r="G62" s="478"/>
      <c r="H62" s="929" t="s">
        <v>2585</v>
      </c>
      <c r="I62" s="478"/>
      <c r="J62" s="490">
        <f>-J61</f>
        <v>-25263750.677767433</v>
      </c>
      <c r="L62" s="3"/>
      <c r="N62" s="7"/>
    </row>
    <row r="63" spans="1:14" ht="13">
      <c r="A63" s="109"/>
      <c r="B63" s="112"/>
      <c r="C63" s="15"/>
      <c r="D63" s="14"/>
      <c r="E63" s="14"/>
      <c r="F63" s="14"/>
      <c r="G63" s="14"/>
      <c r="H63" s="14"/>
      <c r="I63" s="14"/>
      <c r="J63" s="63"/>
      <c r="L63" s="3"/>
      <c r="N63" s="7"/>
    </row>
    <row r="64" spans="1:14" ht="13">
      <c r="A64" s="109">
        <f>A61+1</f>
        <v>40</v>
      </c>
      <c r="B64" s="112"/>
      <c r="C64" s="478" t="s">
        <v>2158</v>
      </c>
      <c r="D64" s="14"/>
      <c r="E64" s="14"/>
      <c r="F64" s="14"/>
      <c r="G64" s="14"/>
      <c r="H64" s="478" t="s">
        <v>2621</v>
      </c>
      <c r="I64" s="14"/>
      <c r="J64" s="63">
        <f>J59+J61+J62</f>
        <v>1019441382.7962471</v>
      </c>
      <c r="L64" s="3"/>
      <c r="N64" s="7"/>
    </row>
    <row r="65" spans="1:15" ht="13">
      <c r="A65" s="109"/>
      <c r="B65" s="112"/>
      <c r="C65" s="15"/>
      <c r="D65" s="14"/>
      <c r="E65" s="14"/>
      <c r="F65" s="14"/>
      <c r="G65" s="14"/>
      <c r="H65" s="14"/>
      <c r="I65" s="14"/>
      <c r="J65" s="63"/>
    </row>
    <row r="66" spans="1:15" ht="13">
      <c r="A66" s="109"/>
      <c r="B66" s="386" t="s">
        <v>2168</v>
      </c>
      <c r="C66" s="15"/>
      <c r="D66" s="14"/>
      <c r="E66" s="14"/>
      <c r="F66" s="14"/>
      <c r="G66" s="14"/>
      <c r="H66" s="14"/>
      <c r="I66" s="14"/>
      <c r="J66" s="63"/>
      <c r="N66" s="572"/>
    </row>
    <row r="67" spans="1:15" ht="13">
      <c r="A67" s="53" t="s">
        <v>320</v>
      </c>
      <c r="B67" s="65"/>
      <c r="G67" s="51" t="s">
        <v>1128</v>
      </c>
      <c r="N67" s="3"/>
    </row>
    <row r="68" spans="1:15" ht="13">
      <c r="A68" s="109">
        <f>A64+1</f>
        <v>41</v>
      </c>
      <c r="B68" s="916"/>
      <c r="C68" s="14"/>
      <c r="D68" s="918" t="s">
        <v>1481</v>
      </c>
      <c r="E68" s="63">
        <f>J64</f>
        <v>1019441382.7962471</v>
      </c>
      <c r="F68" s="14"/>
      <c r="G68" s="14" t="str">
        <f>"Line "&amp;A64&amp;""</f>
        <v>Line 40</v>
      </c>
      <c r="H68" s="14"/>
      <c r="I68" s="14"/>
      <c r="J68" s="1354"/>
      <c r="K68" s="1048"/>
      <c r="L68" s="7"/>
      <c r="N68" s="7"/>
    </row>
    <row r="69" spans="1:15" ht="13">
      <c r="A69" s="109">
        <f>A68+1</f>
        <v>42</v>
      </c>
      <c r="B69" s="916"/>
      <c r="C69" s="14"/>
      <c r="D69" s="363" t="s">
        <v>1127</v>
      </c>
      <c r="E69" s="920">
        <f>'28-FFU'!D22</f>
        <v>9.2480778683301894E-3</v>
      </c>
      <c r="F69" s="14"/>
      <c r="G69" s="14" t="str">
        <f>"28-FFU, L "&amp;'28-FFU'!A22&amp;""</f>
        <v>28-FFU, L 5</v>
      </c>
      <c r="H69" s="14"/>
      <c r="I69" s="14"/>
      <c r="J69" s="551"/>
      <c r="K69" s="1048"/>
      <c r="L69" s="8"/>
      <c r="N69" s="8"/>
    </row>
    <row r="70" spans="1:15" ht="13">
      <c r="A70" s="109">
        <f>A69+1</f>
        <v>43</v>
      </c>
      <c r="B70" s="916"/>
      <c r="C70" s="14"/>
      <c r="D70" s="79" t="s">
        <v>231</v>
      </c>
      <c r="E70" s="63">
        <f>E68*'28-FFU'!D22</f>
        <v>9427873.2902978975</v>
      </c>
      <c r="F70" s="14"/>
      <c r="G70" s="14" t="str">
        <f>"Line "&amp;A68&amp;" * Line "&amp;A69&amp;""</f>
        <v>Line 41 * Line 42</v>
      </c>
      <c r="H70" s="14"/>
      <c r="I70" s="14"/>
      <c r="J70" s="730"/>
      <c r="K70" s="1048"/>
      <c r="L70" s="7"/>
      <c r="N70" s="7"/>
    </row>
    <row r="71" spans="1:15" ht="13">
      <c r="A71" s="109">
        <f>A70+1</f>
        <v>44</v>
      </c>
      <c r="B71" s="916"/>
      <c r="C71" s="14"/>
      <c r="D71" s="918" t="s">
        <v>1716</v>
      </c>
      <c r="E71" s="920">
        <f>'28-FFU'!E22</f>
        <v>2.134007585335019E-3</v>
      </c>
      <c r="F71" s="14"/>
      <c r="G71" s="14" t="str">
        <f>"28-FFU, L "&amp;'28-FFU'!A22&amp;""</f>
        <v>28-FFU, L 5</v>
      </c>
      <c r="H71" s="14"/>
      <c r="I71" s="14"/>
      <c r="J71" s="850"/>
      <c r="K71" s="1048"/>
      <c r="L71" s="1348"/>
      <c r="N71" s="8"/>
    </row>
    <row r="72" spans="1:15" ht="13">
      <c r="A72" s="109">
        <f>A71+1</f>
        <v>45</v>
      </c>
      <c r="B72" s="916"/>
      <c r="C72" s="14"/>
      <c r="D72" s="918" t="s">
        <v>1438</v>
      </c>
      <c r="E72" s="63">
        <f>E68*'28-FFU'!E22</f>
        <v>2175495.6436916119</v>
      </c>
      <c r="F72" s="14"/>
      <c r="G72" s="14" t="str">
        <f>"Line "&amp;A70&amp;" * Line "&amp;A71&amp;""</f>
        <v>Line 43 * Line 44</v>
      </c>
      <c r="H72" s="14"/>
      <c r="I72" s="14"/>
      <c r="J72" s="730"/>
      <c r="K72" s="1048"/>
      <c r="L72" s="7"/>
      <c r="N72" s="7"/>
    </row>
    <row r="73" spans="1:15" ht="13">
      <c r="A73" s="109">
        <f>A72+1</f>
        <v>46</v>
      </c>
      <c r="B73" s="916"/>
      <c r="C73" s="14"/>
      <c r="D73" s="918" t="s">
        <v>1482</v>
      </c>
      <c r="E73" s="63">
        <f>E68+E70+E72</f>
        <v>1031044751.7302366</v>
      </c>
      <c r="F73" s="14"/>
      <c r="G73" s="14" t="str">
        <f>"L "&amp;A68&amp;" + L "&amp;A70&amp;" + L "&amp;A72&amp;""</f>
        <v>L 41 + L 43 + L 45</v>
      </c>
      <c r="H73" s="14"/>
      <c r="I73" s="14"/>
      <c r="J73" s="14"/>
      <c r="L73" s="7"/>
      <c r="N73" s="7"/>
    </row>
    <row r="74" spans="1:15" ht="13">
      <c r="A74" s="14"/>
      <c r="B74" s="928" t="s">
        <v>378</v>
      </c>
      <c r="C74" s="14"/>
      <c r="D74" s="79"/>
      <c r="E74" s="63"/>
      <c r="F74" s="14"/>
      <c r="G74" s="14"/>
      <c r="H74" s="598"/>
      <c r="I74" s="14"/>
      <c r="J74" s="14"/>
      <c r="L74" s="7"/>
    </row>
    <row r="75" spans="1:15" ht="13">
      <c r="A75" s="109"/>
      <c r="B75" s="478" t="s">
        <v>2415</v>
      </c>
      <c r="C75" s="386"/>
      <c r="D75" s="79"/>
      <c r="E75" s="63"/>
      <c r="F75" s="14"/>
      <c r="G75" s="14"/>
      <c r="H75" s="14"/>
      <c r="I75" s="14"/>
      <c r="J75" s="14"/>
      <c r="L75" s="7"/>
    </row>
    <row r="76" spans="1:15" ht="13">
      <c r="A76" s="109"/>
      <c r="B76" s="478" t="s">
        <v>2297</v>
      </c>
      <c r="C76" s="386"/>
      <c r="D76" s="79"/>
      <c r="E76" s="63"/>
      <c r="F76" s="14"/>
      <c r="G76" s="14"/>
      <c r="H76" s="14"/>
      <c r="I76" s="14"/>
      <c r="J76" s="14"/>
      <c r="L76" s="7"/>
    </row>
    <row r="77" spans="1:15" ht="13">
      <c r="A77" s="109"/>
      <c r="B77" s="917" t="s">
        <v>1693</v>
      </c>
      <c r="C77" s="15"/>
      <c r="D77" s="79"/>
      <c r="E77" s="63"/>
      <c r="F77" s="14"/>
      <c r="G77" s="14"/>
      <c r="H77" s="14"/>
      <c r="I77" s="14"/>
      <c r="J77" s="14"/>
      <c r="L77" s="7"/>
      <c r="M77" s="476"/>
    </row>
    <row r="78" spans="1:15" ht="13">
      <c r="A78" s="109"/>
      <c r="B78" s="917" t="s">
        <v>1748</v>
      </c>
      <c r="C78" s="14"/>
      <c r="D78" s="79"/>
      <c r="E78" s="63"/>
      <c r="F78" s="14"/>
      <c r="G78" s="14"/>
      <c r="H78" s="14"/>
      <c r="I78" s="14"/>
      <c r="J78" s="14"/>
      <c r="L78" s="7"/>
      <c r="M78" s="476"/>
    </row>
    <row r="79" spans="1:15" ht="13">
      <c r="A79" s="109"/>
      <c r="B79" s="14"/>
      <c r="C79" s="14"/>
      <c r="D79" s="14"/>
      <c r="E79" s="14"/>
      <c r="F79" s="14"/>
      <c r="G79" s="14"/>
      <c r="H79" s="14"/>
      <c r="I79" s="14"/>
      <c r="J79" s="14"/>
      <c r="L79" s="7"/>
      <c r="M79" s="476"/>
      <c r="N79" s="1048"/>
      <c r="O79" s="1048"/>
    </row>
    <row r="80" spans="1:15" ht="13">
      <c r="A80" s="109"/>
      <c r="B80" s="478" t="s">
        <v>1834</v>
      </c>
      <c r="C80" s="14"/>
      <c r="D80" s="14"/>
      <c r="E80" s="14"/>
      <c r="F80" s="14"/>
      <c r="G80" s="14"/>
      <c r="H80" s="14"/>
      <c r="I80" s="14"/>
      <c r="J80" s="14"/>
      <c r="L80" s="91"/>
      <c r="M80" s="151"/>
    </row>
    <row r="81" spans="1:13" ht="13">
      <c r="A81" s="109"/>
      <c r="B81" s="478"/>
      <c r="C81" s="478" t="s">
        <v>1840</v>
      </c>
      <c r="D81" s="14"/>
      <c r="E81" s="14"/>
      <c r="F81" s="14"/>
      <c r="G81" s="14"/>
      <c r="H81" s="14"/>
      <c r="I81" s="14"/>
      <c r="J81" s="14"/>
      <c r="L81" s="7"/>
      <c r="M81" s="476"/>
    </row>
    <row r="82" spans="1:13" ht="13">
      <c r="A82" s="109"/>
      <c r="B82" s="478"/>
      <c r="C82" s="14"/>
      <c r="D82" s="14"/>
      <c r="E82" s="14"/>
      <c r="F82" s="14"/>
      <c r="G82" s="14"/>
      <c r="H82" s="14"/>
      <c r="I82" s="14"/>
      <c r="J82" s="109" t="s">
        <v>1831</v>
      </c>
    </row>
    <row r="83" spans="1:13" ht="13">
      <c r="A83" s="109"/>
      <c r="B83" s="14"/>
      <c r="C83" s="14"/>
      <c r="D83" s="14"/>
      <c r="E83" s="123" t="s">
        <v>1433</v>
      </c>
      <c r="F83" s="910" t="s">
        <v>1128</v>
      </c>
      <c r="G83" s="123" t="s">
        <v>232</v>
      </c>
      <c r="H83" s="123" t="s">
        <v>233</v>
      </c>
      <c r="I83" s="14"/>
      <c r="J83" s="123" t="s">
        <v>1830</v>
      </c>
    </row>
    <row r="84" spans="1:13" ht="13">
      <c r="B84" s="930" t="s">
        <v>1678</v>
      </c>
      <c r="C84" s="478" t="s">
        <v>1829</v>
      </c>
      <c r="D84" s="14"/>
      <c r="E84" s="1347">
        <v>0.10299999999999999</v>
      </c>
      <c r="F84" s="929" t="s">
        <v>1833</v>
      </c>
      <c r="G84" s="1251">
        <v>43781</v>
      </c>
      <c r="H84" s="1251">
        <v>43830</v>
      </c>
      <c r="I84" s="15"/>
      <c r="J84" s="698">
        <v>50</v>
      </c>
      <c r="K84" s="15"/>
    </row>
    <row r="85" spans="1:13" ht="13">
      <c r="B85" s="930" t="s">
        <v>1679</v>
      </c>
      <c r="C85" s="478" t="s">
        <v>1853</v>
      </c>
      <c r="D85" s="14"/>
      <c r="E85" s="1347">
        <v>0.112</v>
      </c>
      <c r="F85" s="929" t="s">
        <v>2416</v>
      </c>
      <c r="G85" s="1251">
        <v>43466</v>
      </c>
      <c r="H85" s="1251">
        <v>43780</v>
      </c>
      <c r="I85" s="15"/>
      <c r="J85" s="698">
        <v>315</v>
      </c>
      <c r="K85" s="15"/>
      <c r="L85" s="15"/>
    </row>
    <row r="86" spans="1:13" ht="13">
      <c r="B86" s="930" t="s">
        <v>1680</v>
      </c>
      <c r="C86" s="478"/>
      <c r="D86" s="14"/>
      <c r="E86" s="931"/>
      <c r="F86" s="929"/>
      <c r="G86" s="541"/>
      <c r="H86" s="541"/>
      <c r="I86" s="918" t="s">
        <v>1989</v>
      </c>
      <c r="J86" s="104">
        <f>SUM(J84:J85)</f>
        <v>365</v>
      </c>
      <c r="K86" s="15"/>
      <c r="L86" s="15"/>
    </row>
    <row r="87" spans="1:13" ht="13">
      <c r="A87" s="14"/>
      <c r="B87" s="930" t="s">
        <v>1681</v>
      </c>
      <c r="C87" s="478" t="s">
        <v>1842</v>
      </c>
      <c r="D87" s="14"/>
      <c r="E87" s="78">
        <f>((E84*J84) + (E85* J85)) / J86</f>
        <v>0.11076712328767123</v>
      </c>
      <c r="F87" s="478" t="s">
        <v>1990</v>
      </c>
      <c r="G87" s="14"/>
      <c r="H87" s="15"/>
      <c r="I87" s="15"/>
      <c r="J87" s="15"/>
      <c r="K87" s="15"/>
      <c r="L87" s="15"/>
    </row>
    <row r="88" spans="1:13" ht="13">
      <c r="A88" s="109"/>
      <c r="B88" s="478"/>
      <c r="C88" s="14"/>
      <c r="D88" s="14"/>
      <c r="E88" s="14"/>
      <c r="F88" s="14"/>
      <c r="G88" s="14"/>
      <c r="H88" s="15"/>
      <c r="I88" s="15"/>
      <c r="J88" s="15"/>
      <c r="K88" s="15"/>
      <c r="L88" s="15"/>
    </row>
    <row r="89" spans="1:13" ht="13">
      <c r="A89" s="109"/>
      <c r="B89" s="478" t="s">
        <v>1832</v>
      </c>
      <c r="C89" s="14"/>
      <c r="D89" s="14"/>
      <c r="E89" s="14"/>
      <c r="F89" s="14"/>
      <c r="G89" s="14"/>
      <c r="H89" s="15"/>
      <c r="I89" s="15"/>
      <c r="J89" s="15"/>
      <c r="K89" s="15"/>
      <c r="L89" s="15"/>
    </row>
    <row r="90" spans="1:13" ht="13">
      <c r="A90" s="109"/>
      <c r="B90" s="478"/>
      <c r="C90" s="14"/>
      <c r="D90" s="14"/>
      <c r="E90" s="910" t="s">
        <v>1128</v>
      </c>
      <c r="F90" s="14"/>
      <c r="G90" s="14"/>
      <c r="H90" s="15"/>
      <c r="I90" s="15"/>
      <c r="J90" s="15"/>
      <c r="K90" s="15"/>
      <c r="L90" s="15"/>
    </row>
    <row r="91" spans="1:13" ht="13">
      <c r="A91" s="14"/>
      <c r="B91" s="930" t="s">
        <v>1682</v>
      </c>
      <c r="C91" s="478" t="s">
        <v>1855</v>
      </c>
      <c r="D91" s="14"/>
      <c r="E91" s="1051" t="s">
        <v>2749</v>
      </c>
      <c r="F91" s="95"/>
      <c r="G91" s="95"/>
      <c r="H91" s="114"/>
      <c r="I91" s="114"/>
      <c r="J91" s="114"/>
      <c r="K91" s="15"/>
      <c r="L91" s="15"/>
    </row>
    <row r="92" spans="1:13" ht="13">
      <c r="B92" s="930" t="s">
        <v>1683</v>
      </c>
      <c r="C92" s="478" t="s">
        <v>1854</v>
      </c>
      <c r="D92" s="14"/>
      <c r="E92" s="1051" t="s">
        <v>2750</v>
      </c>
      <c r="F92" s="95"/>
      <c r="G92" s="95"/>
      <c r="H92" s="114"/>
      <c r="I92" s="114"/>
      <c r="J92" s="114"/>
      <c r="K92" s="15"/>
      <c r="L92" s="15"/>
    </row>
    <row r="93" spans="1:13">
      <c r="B93" s="14"/>
      <c r="C93" s="478"/>
      <c r="D93" s="14"/>
      <c r="E93" s="541"/>
      <c r="F93" s="14"/>
      <c r="G93" s="14"/>
      <c r="H93" s="14"/>
      <c r="I93" s="15"/>
      <c r="J93" s="15"/>
      <c r="K93" s="15"/>
      <c r="L93" s="15"/>
    </row>
    <row r="94" spans="1:13" ht="13">
      <c r="B94" s="14"/>
      <c r="C94" s="14"/>
      <c r="D94" s="14"/>
      <c r="E94" s="123" t="s">
        <v>1433</v>
      </c>
      <c r="F94" s="910" t="s">
        <v>1128</v>
      </c>
      <c r="G94" s="14"/>
      <c r="H94" s="15"/>
      <c r="I94" s="15"/>
      <c r="J94" s="14"/>
      <c r="L94" s="15"/>
    </row>
    <row r="95" spans="1:13" ht="13">
      <c r="B95" s="930" t="s">
        <v>1685</v>
      </c>
      <c r="C95" s="478" t="s">
        <v>1843</v>
      </c>
      <c r="D95" s="15"/>
      <c r="E95" s="1355">
        <f>'1-BaseTRR'!K88</f>
        <v>2.1803914287979103E-2</v>
      </c>
      <c r="F95" s="14" t="str">
        <f>"1-Base TRR L "&amp;'1-BaseTRR'!A88&amp;""</f>
        <v>1-Base TRR L 51</v>
      </c>
      <c r="G95" s="14"/>
      <c r="H95" s="15"/>
      <c r="I95" s="15"/>
      <c r="J95" s="14"/>
    </row>
    <row r="96" spans="1:13" ht="13">
      <c r="B96" s="930" t="s">
        <v>1835</v>
      </c>
      <c r="C96" s="478" t="s">
        <v>1844</v>
      </c>
      <c r="D96" s="14"/>
      <c r="E96" s="1355">
        <f>'1-BaseTRR'!K89</f>
        <v>4.1703636316651844E-3</v>
      </c>
      <c r="F96" s="14" t="str">
        <f>"1-Base TRR L "&amp;'1-BaseTRR'!A89&amp;""</f>
        <v>1-Base TRR L 52</v>
      </c>
      <c r="G96" s="14"/>
      <c r="H96" s="15"/>
      <c r="I96" s="15"/>
      <c r="J96" s="14"/>
    </row>
    <row r="97" spans="1:10" ht="13">
      <c r="B97" s="930" t="s">
        <v>1836</v>
      </c>
      <c r="C97" s="478" t="s">
        <v>1845</v>
      </c>
      <c r="D97" s="14"/>
      <c r="E97" s="1356">
        <f>('1-BaseTRR'!K80) * E87</f>
        <v>4.975707553776932E-2</v>
      </c>
      <c r="F97" s="14" t="str">
        <f>"1-Base TRR L "&amp;'1-BaseTRR'!A80&amp;" * Line d"</f>
        <v>1-Base TRR L 47 * Line d</v>
      </c>
      <c r="G97" s="15"/>
      <c r="H97" s="15"/>
      <c r="I97" s="14"/>
      <c r="J97" s="14"/>
    </row>
    <row r="98" spans="1:10" ht="13">
      <c r="A98" s="14"/>
      <c r="B98" s="109" t="s">
        <v>1837</v>
      </c>
      <c r="C98" s="46" t="s">
        <v>53</v>
      </c>
      <c r="D98" s="14"/>
      <c r="E98" s="1357">
        <f>SUM(E95:E97)</f>
        <v>7.5731353457413608E-2</v>
      </c>
      <c r="F98" s="63" t="str">
        <f>"Sum of Lines "&amp;B95&amp;" to "&amp;B97&amp;""</f>
        <v>Sum of Lines g to i</v>
      </c>
      <c r="G98" s="104"/>
      <c r="H98" s="14"/>
      <c r="I98" s="14"/>
      <c r="J98" s="932"/>
    </row>
    <row r="99" spans="1:10" ht="13">
      <c r="A99" s="109"/>
      <c r="B99" s="14"/>
      <c r="C99" s="21"/>
      <c r="D99" s="24"/>
      <c r="E99" s="63"/>
      <c r="F99" s="63"/>
      <c r="G99" s="104"/>
      <c r="H99" s="63"/>
      <c r="I99" s="14"/>
      <c r="J99" s="932"/>
    </row>
    <row r="100" spans="1:10" ht="13">
      <c r="A100" s="109"/>
      <c r="B100" s="478" t="s">
        <v>1838</v>
      </c>
      <c r="C100" s="14"/>
      <c r="D100" s="14"/>
      <c r="E100" s="14"/>
      <c r="F100" s="14"/>
      <c r="G100" s="14"/>
      <c r="H100" s="14"/>
      <c r="I100" s="14"/>
      <c r="J100" s="14"/>
    </row>
    <row r="101" spans="1:10" ht="13">
      <c r="A101" s="109"/>
      <c r="B101" s="14"/>
      <c r="C101" s="14"/>
      <c r="D101" s="14"/>
      <c r="E101" s="14"/>
      <c r="F101" s="14"/>
      <c r="G101" s="14"/>
      <c r="H101" s="14"/>
      <c r="I101" s="14"/>
      <c r="J101" s="14"/>
    </row>
    <row r="102" spans="1:10" ht="13">
      <c r="A102" s="109"/>
      <c r="B102" s="14"/>
      <c r="C102" s="14"/>
      <c r="D102" s="14"/>
      <c r="E102" s="123" t="s">
        <v>1433</v>
      </c>
      <c r="F102" s="910" t="s">
        <v>1128</v>
      </c>
      <c r="G102" s="14"/>
      <c r="H102" s="14"/>
      <c r="I102" s="14"/>
      <c r="J102" s="14"/>
    </row>
    <row r="103" spans="1:10" ht="13">
      <c r="A103" s="14"/>
      <c r="B103" s="930" t="s">
        <v>2159</v>
      </c>
      <c r="C103" s="14"/>
      <c r="D103" s="14"/>
      <c r="E103" s="1355">
        <f>E96+E97</f>
        <v>5.3927439169434502E-2</v>
      </c>
      <c r="F103" s="63" t="str">
        <f>"Sum of Lines "&amp;B96&amp;" to "&amp;B97&amp;""</f>
        <v>Sum of Lines h to i</v>
      </c>
      <c r="G103" s="14"/>
      <c r="H103" s="14"/>
      <c r="I103" s="14"/>
      <c r="J103" s="14"/>
    </row>
    <row r="104" spans="1:10" ht="13">
      <c r="A104" s="109"/>
      <c r="B104" s="14"/>
      <c r="C104" s="14"/>
      <c r="D104" s="14"/>
      <c r="E104" s="67"/>
      <c r="F104" s="63"/>
      <c r="G104" s="14"/>
      <c r="H104" s="14"/>
      <c r="I104" s="14"/>
      <c r="J104" s="14"/>
    </row>
    <row r="105" spans="1:10" ht="13">
      <c r="A105" s="109"/>
      <c r="B105" s="929" t="s">
        <v>230</v>
      </c>
      <c r="C105" s="14"/>
      <c r="D105" s="14"/>
      <c r="E105" s="104"/>
      <c r="F105" s="104"/>
      <c r="G105" s="104"/>
      <c r="H105" s="63"/>
      <c r="I105" s="14"/>
      <c r="J105" s="14"/>
    </row>
    <row r="106" spans="1:10" ht="13">
      <c r="A106" s="109"/>
      <c r="B106" s="478" t="s">
        <v>2581</v>
      </c>
      <c r="C106" s="14"/>
      <c r="D106" s="14"/>
      <c r="E106" s="14"/>
      <c r="F106" s="14"/>
      <c r="G106" s="14"/>
      <c r="H106" s="14"/>
      <c r="I106" s="14"/>
      <c r="J106" s="14"/>
    </row>
    <row r="107" spans="1:10" ht="13">
      <c r="A107" s="2"/>
      <c r="B107" s="478" t="s">
        <v>2582</v>
      </c>
      <c r="C107" s="14"/>
      <c r="D107" s="109"/>
      <c r="E107" s="109"/>
      <c r="F107" s="109"/>
      <c r="G107" s="109"/>
      <c r="H107" s="109"/>
      <c r="I107" s="14"/>
      <c r="J107" s="14"/>
    </row>
    <row r="108" spans="1:10" ht="13">
      <c r="A108" s="2"/>
      <c r="B108" s="917"/>
      <c r="C108" s="14"/>
      <c r="D108" s="109"/>
      <c r="E108" s="109"/>
      <c r="F108" s="109"/>
      <c r="G108" s="109"/>
      <c r="H108" s="109"/>
      <c r="I108" s="14"/>
      <c r="J108" s="14"/>
    </row>
    <row r="109" spans="1:10" ht="13">
      <c r="A109" s="2"/>
      <c r="B109" s="14"/>
      <c r="C109" s="29"/>
      <c r="D109" s="29"/>
      <c r="E109" s="123"/>
      <c r="F109" s="123"/>
      <c r="G109" s="123"/>
      <c r="H109" s="123"/>
      <c r="I109" s="14"/>
      <c r="J109" s="14"/>
    </row>
    <row r="110" spans="1:10" ht="13">
      <c r="A110" s="2"/>
    </row>
    <row r="111" spans="1:10" ht="13">
      <c r="A111" s="2"/>
    </row>
    <row r="112" spans="1:10" ht="13">
      <c r="A112" s="2"/>
    </row>
    <row r="113" spans="1:10" ht="13">
      <c r="A113" s="2"/>
      <c r="C113" s="21"/>
      <c r="E113" s="63"/>
      <c r="F113" s="63"/>
      <c r="H113" s="7"/>
      <c r="J113" s="82"/>
    </row>
    <row r="114" spans="1:10" ht="13">
      <c r="A114" s="2"/>
      <c r="C114" s="21"/>
      <c r="E114" s="63"/>
      <c r="F114" s="63"/>
      <c r="H114" s="7"/>
      <c r="J114" s="82"/>
    </row>
    <row r="115" spans="1:10" ht="13">
      <c r="A115" s="53"/>
      <c r="C115" s="21"/>
      <c r="E115" s="63"/>
      <c r="F115" s="63"/>
      <c r="H115" s="7"/>
      <c r="J115" s="82"/>
    </row>
    <row r="116" spans="1:10" ht="13">
      <c r="A116" s="2"/>
      <c r="D116" s="34"/>
      <c r="E116" s="63"/>
      <c r="F116" s="63"/>
      <c r="G116" s="12"/>
      <c r="H116" s="7"/>
      <c r="J116" s="82"/>
    </row>
    <row r="117" spans="1:10" ht="13">
      <c r="A117" s="2"/>
      <c r="C117" s="21"/>
      <c r="D117" s="92"/>
      <c r="E117" s="91"/>
      <c r="F117" s="7"/>
      <c r="G117" s="12"/>
      <c r="H117" s="7"/>
      <c r="J117" s="82"/>
    </row>
    <row r="118" spans="1:10" ht="13">
      <c r="A118" s="2"/>
      <c r="C118" s="21"/>
      <c r="D118" s="92"/>
      <c r="E118" s="7"/>
      <c r="F118" s="7"/>
      <c r="G118" s="12"/>
      <c r="H118" s="7"/>
      <c r="J118" s="82"/>
    </row>
    <row r="119" spans="1:10" ht="13">
      <c r="A119" s="2"/>
    </row>
    <row r="120" spans="1:10" ht="13">
      <c r="A120" s="2"/>
      <c r="B120" s="1"/>
    </row>
    <row r="121" spans="1:10" ht="13">
      <c r="A121" s="2"/>
    </row>
    <row r="122" spans="1:10" ht="13">
      <c r="A122" s="2"/>
    </row>
    <row r="123" spans="1:10" ht="13">
      <c r="A123" s="2"/>
      <c r="F123" s="2"/>
    </row>
    <row r="124" spans="1:10" ht="13">
      <c r="A124" s="2"/>
      <c r="F124" s="2"/>
    </row>
    <row r="125" spans="1:10" ht="13">
      <c r="A125" s="2"/>
      <c r="D125" s="2"/>
      <c r="E125" s="2"/>
      <c r="F125" s="2"/>
      <c r="H125" s="2"/>
    </row>
    <row r="126" spans="1:10" ht="13">
      <c r="A126" s="2"/>
      <c r="D126" s="2"/>
      <c r="E126" s="2"/>
      <c r="F126" s="2"/>
      <c r="G126" s="2"/>
      <c r="H126" s="4"/>
    </row>
    <row r="127" spans="1:10" ht="13">
      <c r="A127" s="53"/>
      <c r="C127" s="25"/>
      <c r="D127" s="25"/>
      <c r="E127" s="3"/>
      <c r="F127" s="84"/>
      <c r="G127" s="3"/>
      <c r="H127" s="4"/>
    </row>
    <row r="128" spans="1:10" ht="13">
      <c r="A128" s="2"/>
      <c r="C128" s="20"/>
      <c r="D128" s="24"/>
      <c r="E128" s="63"/>
      <c r="F128" s="63"/>
      <c r="G128" s="78"/>
      <c r="H128" s="7"/>
    </row>
    <row r="129" spans="1:8" ht="13">
      <c r="A129" s="2"/>
      <c r="C129" s="21"/>
      <c r="D129" s="24"/>
      <c r="E129" s="63"/>
      <c r="F129" s="63"/>
      <c r="G129" s="78"/>
      <c r="H129" s="7"/>
    </row>
    <row r="130" spans="1:8" ht="13">
      <c r="A130" s="2"/>
      <c r="C130" s="21"/>
      <c r="D130" s="24"/>
      <c r="E130" s="63"/>
      <c r="F130" s="63"/>
      <c r="G130" s="78"/>
      <c r="H130" s="7"/>
    </row>
    <row r="131" spans="1:8" ht="13">
      <c r="A131" s="2"/>
      <c r="C131" s="20"/>
      <c r="D131" s="24"/>
      <c r="E131" s="63"/>
      <c r="F131" s="63"/>
      <c r="G131" s="78"/>
      <c r="H131" s="7"/>
    </row>
    <row r="132" spans="1:8" ht="13">
      <c r="A132" s="2"/>
      <c r="C132" s="21"/>
      <c r="D132" s="24"/>
      <c r="E132" s="63"/>
      <c r="F132" s="63"/>
      <c r="G132" s="78"/>
      <c r="H132" s="7"/>
    </row>
    <row r="133" spans="1:8" ht="13">
      <c r="A133" s="2"/>
      <c r="C133" s="21"/>
      <c r="D133" s="24"/>
      <c r="E133" s="63"/>
      <c r="F133" s="63"/>
      <c r="G133" s="78"/>
      <c r="H133" s="7"/>
    </row>
    <row r="134" spans="1:8" ht="13">
      <c r="A134" s="2"/>
      <c r="C134" s="20"/>
      <c r="D134" s="24"/>
      <c r="E134" s="63"/>
      <c r="F134" s="63"/>
      <c r="G134" s="78"/>
      <c r="H134" s="7"/>
    </row>
    <row r="135" spans="1:8" ht="13">
      <c r="A135" s="2"/>
      <c r="C135" s="21"/>
      <c r="D135" s="24"/>
      <c r="E135" s="63"/>
      <c r="F135" s="63"/>
      <c r="G135" s="78"/>
      <c r="H135" s="7"/>
    </row>
    <row r="136" spans="1:8" ht="13">
      <c r="A136" s="2"/>
      <c r="C136" s="21"/>
      <c r="D136" s="24"/>
      <c r="E136" s="63"/>
      <c r="F136" s="63"/>
      <c r="G136" s="78"/>
      <c r="H136" s="7"/>
    </row>
    <row r="137" spans="1:8" ht="13">
      <c r="A137" s="2"/>
      <c r="C137" s="20"/>
      <c r="D137" s="24"/>
      <c r="E137" s="63"/>
      <c r="F137" s="63"/>
      <c r="G137" s="78"/>
      <c r="H137" s="7"/>
    </row>
    <row r="138" spans="1:8" ht="13">
      <c r="A138" s="2"/>
      <c r="C138" s="20"/>
      <c r="D138" s="24"/>
      <c r="E138" s="63"/>
      <c r="F138" s="63"/>
      <c r="G138" s="78"/>
      <c r="H138" s="7"/>
    </row>
    <row r="139" spans="1:8" ht="13">
      <c r="A139" s="2"/>
      <c r="C139" s="21"/>
      <c r="D139" s="24"/>
      <c r="E139" s="63"/>
      <c r="F139" s="63"/>
      <c r="G139" s="78"/>
      <c r="H139" s="57"/>
    </row>
    <row r="140" spans="1:8" ht="13">
      <c r="A140" s="2"/>
      <c r="E140" s="14"/>
      <c r="F140" s="14"/>
      <c r="G140" s="14"/>
      <c r="H140" s="7"/>
    </row>
    <row r="141" spans="1:8" ht="13">
      <c r="A141" s="2"/>
      <c r="C141" s="21"/>
      <c r="D141" s="24"/>
      <c r="E141" s="14"/>
      <c r="F141" s="144"/>
      <c r="G141" s="78"/>
      <c r="H141" s="71"/>
    </row>
    <row r="142" spans="1:8" ht="13">
      <c r="A142" s="2"/>
      <c r="B142" s="1"/>
      <c r="C142" s="21"/>
      <c r="D142" s="24"/>
      <c r="E142" s="14"/>
      <c r="F142" s="144"/>
      <c r="G142" s="78"/>
      <c r="H142" s="71"/>
    </row>
    <row r="143" spans="1:8" ht="13">
      <c r="A143" s="53"/>
      <c r="B143" s="1"/>
      <c r="C143" s="21"/>
      <c r="D143" s="24"/>
      <c r="E143" s="14"/>
      <c r="F143" s="144"/>
      <c r="G143" s="78"/>
      <c r="H143" s="71"/>
    </row>
    <row r="144" spans="1:8" ht="13">
      <c r="A144" s="2"/>
      <c r="C144" s="21"/>
      <c r="D144" s="85"/>
      <c r="E144" s="63"/>
      <c r="F144" s="145"/>
      <c r="G144" s="78"/>
      <c r="H144" s="71"/>
    </row>
    <row r="145" spans="1:10" ht="13">
      <c r="A145" s="2"/>
      <c r="C145" s="21"/>
      <c r="D145" s="37"/>
      <c r="E145" s="63"/>
      <c r="F145" s="145"/>
      <c r="G145" s="78"/>
      <c r="H145" s="71"/>
    </row>
    <row r="146" spans="1:10" ht="13">
      <c r="A146" s="2"/>
      <c r="C146" s="21"/>
      <c r="D146" s="37"/>
      <c r="E146" s="57"/>
      <c r="F146" s="116"/>
      <c r="G146" s="78"/>
      <c r="H146" s="71"/>
    </row>
    <row r="147" spans="1:10" ht="13">
      <c r="A147" s="2"/>
      <c r="C147" s="21"/>
      <c r="D147" s="85"/>
      <c r="E147" s="7"/>
      <c r="F147" s="71"/>
      <c r="G147" s="78"/>
      <c r="H147" s="71"/>
    </row>
    <row r="148" spans="1:10" ht="13">
      <c r="A148" s="2"/>
      <c r="C148" s="21"/>
      <c r="D148" s="24"/>
      <c r="F148" s="71"/>
      <c r="G148" s="78"/>
      <c r="H148" s="71"/>
    </row>
    <row r="149" spans="1:10" ht="13">
      <c r="A149" s="2"/>
    </row>
    <row r="150" spans="1:10" ht="13">
      <c r="A150" s="2"/>
    </row>
    <row r="151" spans="1:10" ht="13">
      <c r="A151" s="2"/>
    </row>
    <row r="152" spans="1:10" ht="13">
      <c r="A152" s="2"/>
      <c r="B152" s="1"/>
    </row>
    <row r="153" spans="1:10" ht="13">
      <c r="A153" s="2"/>
      <c r="B153" s="12"/>
    </row>
    <row r="154" spans="1:10" ht="13">
      <c r="A154" s="2"/>
      <c r="B154" s="12"/>
    </row>
    <row r="155" spans="1:10" ht="13">
      <c r="A155" s="2"/>
      <c r="B155" s="12"/>
    </row>
    <row r="156" spans="1:10" ht="13">
      <c r="A156" s="2"/>
    </row>
    <row r="157" spans="1:10" ht="13">
      <c r="A157" s="2"/>
      <c r="B157" s="1"/>
    </row>
    <row r="158" spans="1:10" ht="13">
      <c r="A158" s="2"/>
    </row>
    <row r="159" spans="1:10" ht="13">
      <c r="A159" s="53"/>
      <c r="C159" s="25"/>
      <c r="D159" s="3"/>
      <c r="G159" s="14"/>
      <c r="H159" s="14"/>
      <c r="I159" s="14"/>
      <c r="J159" s="14"/>
    </row>
    <row r="160" spans="1:10" ht="13">
      <c r="A160" s="2"/>
      <c r="C160" s="20"/>
      <c r="D160" s="142"/>
      <c r="F160" s="8"/>
      <c r="G160" s="14"/>
      <c r="H160" s="14"/>
      <c r="I160" s="14"/>
      <c r="J160" s="14"/>
    </row>
    <row r="161" spans="1:10" ht="13">
      <c r="A161" s="2"/>
      <c r="C161" s="21"/>
      <c r="D161" s="142"/>
      <c r="F161" s="8"/>
      <c r="G161" s="14"/>
      <c r="H161" s="14"/>
      <c r="I161" s="14"/>
      <c r="J161" s="14"/>
    </row>
    <row r="162" spans="1:10" ht="13">
      <c r="A162" s="2"/>
      <c r="C162" s="21"/>
      <c r="D162" s="142"/>
      <c r="F162" s="8"/>
      <c r="G162" s="14"/>
      <c r="H162" s="14"/>
      <c r="I162" s="14"/>
      <c r="J162" s="14"/>
    </row>
    <row r="163" spans="1:10" ht="13">
      <c r="A163" s="2"/>
      <c r="C163" s="20"/>
      <c r="D163" s="142"/>
      <c r="F163" s="8"/>
      <c r="G163" s="14"/>
      <c r="H163" s="14"/>
      <c r="I163" s="14"/>
      <c r="J163" s="14"/>
    </row>
    <row r="164" spans="1:10" ht="13">
      <c r="A164" s="2"/>
      <c r="C164" s="21"/>
      <c r="D164" s="142"/>
      <c r="F164" s="8"/>
      <c r="G164" s="14"/>
      <c r="H164" s="14"/>
      <c r="I164" s="14"/>
      <c r="J164" s="14"/>
    </row>
    <row r="165" spans="1:10" ht="13">
      <c r="A165" s="2"/>
      <c r="C165" s="21"/>
      <c r="D165" s="142"/>
      <c r="F165" s="8"/>
      <c r="G165" s="14"/>
      <c r="H165" s="14"/>
      <c r="I165" s="14"/>
      <c r="J165" s="14"/>
    </row>
    <row r="166" spans="1:10" ht="13">
      <c r="A166" s="2"/>
      <c r="C166" s="20"/>
      <c r="D166" s="142"/>
      <c r="F166" s="8"/>
      <c r="G166" s="14"/>
      <c r="H166" s="14"/>
      <c r="I166" s="14"/>
      <c r="J166" s="14"/>
    </row>
    <row r="167" spans="1:10" ht="13">
      <c r="A167" s="2"/>
      <c r="C167" s="21"/>
      <c r="D167" s="142"/>
      <c r="F167" s="8"/>
      <c r="G167" s="14"/>
      <c r="H167" s="14"/>
      <c r="I167" s="14"/>
      <c r="J167" s="14"/>
    </row>
    <row r="168" spans="1:10" ht="13">
      <c r="A168" s="2"/>
      <c r="C168" s="21"/>
      <c r="D168" s="142"/>
      <c r="F168" s="8"/>
      <c r="G168" s="14"/>
      <c r="H168" s="14"/>
      <c r="I168" s="14"/>
      <c r="J168" s="14"/>
    </row>
    <row r="169" spans="1:10" ht="13">
      <c r="A169" s="2"/>
      <c r="C169" s="20"/>
      <c r="D169" s="142"/>
      <c r="F169" s="8"/>
      <c r="G169" s="14"/>
      <c r="H169" s="14"/>
      <c r="I169" s="14"/>
      <c r="J169" s="14"/>
    </row>
    <row r="170" spans="1:10" ht="13">
      <c r="A170" s="2"/>
      <c r="C170" s="20"/>
      <c r="D170" s="142"/>
      <c r="F170" s="8"/>
    </row>
    <row r="171" spans="1:10" ht="13">
      <c r="A171" s="2"/>
      <c r="C171" s="21"/>
      <c r="D171" s="143"/>
      <c r="F171" s="81"/>
    </row>
    <row r="172" spans="1:10" ht="13">
      <c r="A172" s="2"/>
      <c r="C172" s="34"/>
      <c r="D172" s="142"/>
    </row>
  </sheetData>
  <phoneticPr fontId="23" type="noConversion"/>
  <pageMargins left="0.75" right="0.75" top="1" bottom="1" header="0.5" footer="0.5"/>
  <pageSetup scale="78" orientation="landscape" cellComments="asDisplayed" r:id="rId1"/>
  <headerFooter alignWithMargins="0">
    <oddHeader>&amp;CSchedule 4
True Up TRR
&amp;RTO2021 Annual Update
Attachment 5
TO2018 True Up TRR</oddHeader>
    <oddFooter>&amp;R&amp;A</oddFooter>
  </headerFooter>
  <rowBreaks count="4" manualBreakCount="4">
    <brk id="45" max="9" man="1"/>
    <brk id="73" max="16383" man="1"/>
    <brk id="119" max="9" man="1"/>
    <brk id="15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61"/>
  <sheetViews>
    <sheetView zoomScaleNormal="100" zoomScalePageLayoutView="70" workbookViewId="0"/>
  </sheetViews>
  <sheetFormatPr defaultColWidth="8.54296875" defaultRowHeight="12.5"/>
  <cols>
    <col min="1" max="1" width="4.54296875" style="1048" customWidth="1"/>
    <col min="2" max="2" width="3.54296875" style="1048" customWidth="1"/>
    <col min="3" max="3" width="8.54296875" style="1048"/>
    <col min="4" max="4" width="13.54296875" style="1048" customWidth="1"/>
    <col min="5" max="5" width="8.54296875" style="1048"/>
    <col min="6" max="7" width="10.54296875" style="1048" customWidth="1"/>
    <col min="8" max="8" width="8.54296875" style="1048"/>
    <col min="9" max="9" width="27.54296875" style="1048" customWidth="1"/>
    <col min="10" max="10" width="30.54296875" style="1048" customWidth="1"/>
    <col min="11" max="11" width="2.54296875" style="1048" customWidth="1"/>
    <col min="12" max="12" width="16.54296875" style="1048" customWidth="1"/>
    <col min="13" max="13" width="1.54296875" style="14" customWidth="1"/>
    <col min="14" max="14" width="4.54296875" style="14" customWidth="1"/>
    <col min="15" max="28" width="14.54296875" style="14" customWidth="1"/>
    <col min="29" max="16384" width="8.54296875" style="1048"/>
  </cols>
  <sheetData>
    <row r="1" spans="1:28" ht="13">
      <c r="A1" s="1" t="s">
        <v>24</v>
      </c>
      <c r="J1" s="95" t="s">
        <v>302</v>
      </c>
      <c r="K1" s="14"/>
      <c r="L1" s="14"/>
    </row>
    <row r="2" spans="1:28" ht="13">
      <c r="B2" s="1"/>
      <c r="I2" s="572"/>
      <c r="J2" s="572" t="s">
        <v>169</v>
      </c>
      <c r="L2" s="248">
        <v>2019</v>
      </c>
    </row>
    <row r="3" spans="1:28" ht="13">
      <c r="I3" s="3" t="s">
        <v>168</v>
      </c>
      <c r="J3" s="3" t="s">
        <v>170</v>
      </c>
      <c r="L3" s="3" t="s">
        <v>171</v>
      </c>
    </row>
    <row r="5" spans="1:28" ht="13">
      <c r="A5" s="10" t="s">
        <v>177</v>
      </c>
      <c r="B5" s="119"/>
      <c r="C5" s="11"/>
      <c r="D5" s="11"/>
      <c r="E5" s="11"/>
      <c r="F5" s="11"/>
      <c r="G5" s="11"/>
      <c r="H5" s="11"/>
      <c r="I5" s="9"/>
      <c r="J5" s="9"/>
      <c r="K5" s="9"/>
      <c r="L5" s="9"/>
      <c r="N5" s="556"/>
      <c r="O5" s="557"/>
      <c r="P5" s="557"/>
      <c r="Q5" s="557"/>
      <c r="R5" s="557"/>
      <c r="S5" s="557"/>
      <c r="T5" s="557"/>
    </row>
    <row r="6" spans="1:28" ht="13">
      <c r="B6" s="44"/>
      <c r="C6" s="478"/>
      <c r="D6" s="478"/>
      <c r="E6" s="478"/>
      <c r="F6" s="478"/>
      <c r="G6" s="478"/>
      <c r="H6" s="478"/>
      <c r="I6" s="478"/>
      <c r="J6" s="478"/>
      <c r="K6" s="478"/>
      <c r="L6" s="478"/>
      <c r="O6" s="358"/>
      <c r="P6" s="358"/>
      <c r="Q6" s="358"/>
      <c r="R6" s="358"/>
      <c r="S6" s="358"/>
      <c r="T6" s="358"/>
      <c r="U6" s="358"/>
      <c r="V6" s="358"/>
      <c r="W6" s="358"/>
      <c r="X6" s="358"/>
      <c r="Y6" s="358"/>
      <c r="Z6" s="358"/>
      <c r="AA6" s="358"/>
      <c r="AB6" s="358"/>
    </row>
    <row r="7" spans="1:28" ht="13">
      <c r="A7" s="53" t="s">
        <v>320</v>
      </c>
      <c r="B7" s="44"/>
      <c r="C7" s="45" t="s">
        <v>268</v>
      </c>
      <c r="D7" s="478"/>
      <c r="E7" s="478"/>
      <c r="F7" s="478"/>
      <c r="G7" s="478"/>
      <c r="H7" s="478"/>
      <c r="I7" s="478"/>
      <c r="J7" s="476"/>
      <c r="K7" s="478"/>
      <c r="L7" s="478"/>
      <c r="N7" s="558"/>
      <c r="O7" s="79"/>
      <c r="P7" s="559"/>
      <c r="Q7" s="541"/>
      <c r="R7" s="541"/>
      <c r="S7" s="541"/>
      <c r="T7" s="541"/>
      <c r="U7" s="541"/>
      <c r="V7" s="541"/>
      <c r="W7" s="541"/>
      <c r="X7" s="541"/>
      <c r="Y7" s="541"/>
      <c r="Z7" s="541"/>
      <c r="AA7" s="541"/>
      <c r="AB7" s="541"/>
    </row>
    <row r="8" spans="1:28" ht="13">
      <c r="A8" s="109">
        <v>1</v>
      </c>
      <c r="B8" s="44"/>
      <c r="C8" s="478" t="s">
        <v>206</v>
      </c>
      <c r="D8" s="478"/>
      <c r="E8" s="478"/>
      <c r="F8" s="478"/>
      <c r="G8" s="478"/>
      <c r="H8" s="478"/>
      <c r="I8" s="478" t="s">
        <v>1616</v>
      </c>
      <c r="J8" s="475" t="str">
        <f>"5-ROR-2, Line "&amp;'5-ROR-2'!A8&amp;""</f>
        <v>5-ROR-2, Line 1</v>
      </c>
      <c r="K8" s="478"/>
      <c r="L8" s="490">
        <f>'5-ROR-2'!C8</f>
        <v>14061240659.277691</v>
      </c>
      <c r="N8" s="109"/>
      <c r="O8" s="490"/>
      <c r="P8" s="490"/>
      <c r="Q8" s="490"/>
      <c r="R8" s="490"/>
      <c r="S8" s="490"/>
      <c r="T8" s="490"/>
      <c r="U8" s="490"/>
      <c r="V8" s="490"/>
      <c r="W8" s="490"/>
      <c r="X8" s="490"/>
      <c r="Y8" s="490"/>
      <c r="Z8" s="490"/>
      <c r="AA8" s="490"/>
      <c r="AB8" s="490"/>
    </row>
    <row r="9" spans="1:28" ht="13">
      <c r="A9" s="109">
        <f>A8+1</f>
        <v>2</v>
      </c>
      <c r="B9" s="44"/>
      <c r="C9" s="478" t="s">
        <v>207</v>
      </c>
      <c r="D9" s="478"/>
      <c r="E9" s="478"/>
      <c r="F9" s="478"/>
      <c r="G9" s="478"/>
      <c r="H9" s="478"/>
      <c r="I9" s="478" t="s">
        <v>1616</v>
      </c>
      <c r="J9" s="475" t="str">
        <f>"5-ROR-2, Line "&amp;'5-ROR-2'!A10&amp;""</f>
        <v>5-ROR-2, Line 2</v>
      </c>
      <c r="K9" s="478"/>
      <c r="L9" s="490">
        <f>'5-ROR-2'!C10</f>
        <v>0</v>
      </c>
      <c r="N9" s="109"/>
      <c r="O9" s="490"/>
      <c r="P9" s="490"/>
      <c r="Q9" s="490"/>
      <c r="R9" s="490"/>
      <c r="S9" s="490"/>
      <c r="T9" s="490"/>
      <c r="U9" s="490"/>
      <c r="V9" s="490"/>
      <c r="W9" s="490"/>
      <c r="X9" s="490"/>
      <c r="Y9" s="490"/>
      <c r="Z9" s="490"/>
      <c r="AA9" s="490"/>
      <c r="AB9" s="490"/>
    </row>
    <row r="10" spans="1:28" ht="13">
      <c r="A10" s="109" t="s">
        <v>509</v>
      </c>
      <c r="B10" s="44"/>
      <c r="C10" s="478" t="s">
        <v>1826</v>
      </c>
      <c r="D10" s="933"/>
      <c r="E10" s="933"/>
      <c r="F10" s="933"/>
      <c r="G10" s="933"/>
      <c r="H10" s="933"/>
      <c r="I10" s="478" t="s">
        <v>1616</v>
      </c>
      <c r="J10" s="475" t="str">
        <f>"5-ROR-2, Line "&amp;'5-ROR-2'!A12&amp;""</f>
        <v>5-ROR-2, Line 2a</v>
      </c>
      <c r="K10" s="478"/>
      <c r="L10" s="490">
        <f>'5-ROR-2'!C12</f>
        <v>0</v>
      </c>
      <c r="N10" s="109"/>
      <c r="O10" s="490"/>
      <c r="P10" s="490"/>
      <c r="Q10" s="490"/>
      <c r="R10" s="490"/>
      <c r="S10" s="490"/>
      <c r="T10" s="490"/>
      <c r="U10" s="490"/>
      <c r="V10" s="490"/>
      <c r="W10" s="490"/>
      <c r="X10" s="490"/>
      <c r="Y10" s="490"/>
      <c r="Z10" s="490"/>
      <c r="AA10" s="490"/>
      <c r="AB10" s="490"/>
    </row>
    <row r="11" spans="1:28" ht="13">
      <c r="A11" s="109">
        <f>A9+1</f>
        <v>3</v>
      </c>
      <c r="B11" s="44"/>
      <c r="C11" s="478" t="s">
        <v>208</v>
      </c>
      <c r="D11" s="478"/>
      <c r="E11" s="478"/>
      <c r="F11" s="478"/>
      <c r="G11" s="478"/>
      <c r="H11" s="478"/>
      <c r="I11" s="478" t="s">
        <v>1616</v>
      </c>
      <c r="J11" s="475" t="str">
        <f>"5-ROR-2, Line "&amp;'5-ROR-2'!A14&amp;""</f>
        <v>5-ROR-2, Line 3</v>
      </c>
      <c r="K11" s="478"/>
      <c r="L11" s="490">
        <f>'5-ROR-2'!C14</f>
        <v>306455395.05307692</v>
      </c>
      <c r="N11" s="109"/>
      <c r="O11" s="490"/>
      <c r="P11" s="490"/>
      <c r="Q11" s="490"/>
      <c r="R11" s="490"/>
      <c r="S11" s="490"/>
      <c r="T11" s="490"/>
      <c r="U11" s="490"/>
      <c r="V11" s="490"/>
      <c r="W11" s="490"/>
      <c r="X11" s="490"/>
      <c r="Y11" s="490"/>
      <c r="Z11" s="490"/>
      <c r="AA11" s="490"/>
      <c r="AB11" s="490"/>
    </row>
    <row r="12" spans="1:28" ht="13">
      <c r="A12" s="109">
        <f>A11+1</f>
        <v>4</v>
      </c>
      <c r="B12" s="44"/>
      <c r="C12" s="478" t="s">
        <v>2548</v>
      </c>
      <c r="D12" s="478"/>
      <c r="E12" s="478"/>
      <c r="F12" s="478"/>
      <c r="G12" s="478"/>
      <c r="H12" s="478"/>
      <c r="I12" s="478"/>
      <c r="J12" s="475"/>
      <c r="K12" s="478"/>
      <c r="L12" s="490"/>
      <c r="N12" s="109"/>
      <c r="O12" s="490"/>
      <c r="P12" s="490"/>
      <c r="Q12" s="490"/>
      <c r="R12" s="490"/>
      <c r="S12" s="490"/>
      <c r="T12" s="490"/>
      <c r="U12" s="490"/>
      <c r="V12" s="490"/>
      <c r="W12" s="490"/>
      <c r="X12" s="490"/>
      <c r="Y12" s="490"/>
      <c r="Z12" s="490"/>
      <c r="AA12" s="490"/>
      <c r="AB12" s="490"/>
    </row>
    <row r="13" spans="1:28" ht="13">
      <c r="A13" s="109">
        <f>A12+1</f>
        <v>5</v>
      </c>
      <c r="B13" s="44"/>
      <c r="C13" s="478" t="s">
        <v>2548</v>
      </c>
      <c r="D13" s="478"/>
      <c r="E13" s="478"/>
      <c r="F13" s="478"/>
      <c r="G13" s="478"/>
      <c r="H13" s="478"/>
      <c r="I13" s="478"/>
      <c r="J13" s="475"/>
      <c r="K13" s="478"/>
      <c r="L13" s="490"/>
      <c r="N13" s="109"/>
      <c r="O13" s="490"/>
      <c r="P13" s="490"/>
      <c r="Q13" s="490"/>
      <c r="R13" s="490"/>
      <c r="S13" s="490"/>
      <c r="T13" s="490"/>
      <c r="U13" s="490"/>
      <c r="V13" s="490"/>
      <c r="W13" s="490"/>
      <c r="X13" s="490"/>
      <c r="Y13" s="490"/>
      <c r="Z13" s="490"/>
      <c r="AA13" s="490"/>
      <c r="AB13" s="490"/>
    </row>
    <row r="14" spans="1:28" ht="13">
      <c r="A14" s="109">
        <f>A13+1</f>
        <v>6</v>
      </c>
      <c r="B14" s="44"/>
      <c r="C14" s="478" t="s">
        <v>2548</v>
      </c>
      <c r="D14" s="478"/>
      <c r="E14" s="478"/>
      <c r="F14" s="478"/>
      <c r="G14" s="478"/>
      <c r="H14" s="478"/>
      <c r="I14" s="478"/>
      <c r="J14" s="475"/>
      <c r="K14" s="478"/>
      <c r="L14" s="490"/>
      <c r="N14" s="109"/>
      <c r="O14" s="490"/>
      <c r="P14" s="490"/>
      <c r="Q14" s="490"/>
      <c r="R14" s="490"/>
      <c r="S14" s="490"/>
      <c r="T14" s="490"/>
      <c r="U14" s="490"/>
      <c r="V14" s="490"/>
      <c r="W14" s="490"/>
      <c r="X14" s="490"/>
      <c r="Y14" s="490"/>
      <c r="Z14" s="490"/>
      <c r="AA14" s="490"/>
      <c r="AB14" s="490"/>
    </row>
    <row r="15" spans="1:28" ht="13">
      <c r="A15" s="109">
        <f>A14+1</f>
        <v>7</v>
      </c>
      <c r="B15" s="44"/>
      <c r="C15" s="478" t="s">
        <v>2548</v>
      </c>
      <c r="D15" s="478"/>
      <c r="E15" s="478"/>
      <c r="F15" s="478"/>
      <c r="G15" s="478"/>
      <c r="H15" s="478"/>
      <c r="I15" s="478"/>
      <c r="J15" s="475"/>
      <c r="K15" s="478"/>
      <c r="L15" s="490"/>
      <c r="N15" s="109"/>
      <c r="O15" s="490"/>
      <c r="P15" s="490"/>
      <c r="Q15" s="490"/>
      <c r="R15" s="490"/>
      <c r="S15" s="490"/>
      <c r="T15" s="490"/>
      <c r="U15" s="490"/>
      <c r="V15" s="490"/>
      <c r="W15" s="490"/>
      <c r="X15" s="490"/>
      <c r="Y15" s="490"/>
      <c r="Z15" s="490"/>
      <c r="AA15" s="490"/>
      <c r="AB15" s="490"/>
    </row>
    <row r="16" spans="1:28" ht="13">
      <c r="A16" s="109">
        <f>A15+1</f>
        <v>8</v>
      </c>
      <c r="B16" s="44"/>
      <c r="C16" s="475" t="s">
        <v>209</v>
      </c>
      <c r="D16" s="478"/>
      <c r="E16" s="478"/>
      <c r="F16" s="478"/>
      <c r="G16" s="478"/>
      <c r="H16" s="478"/>
      <c r="I16" s="14"/>
      <c r="J16" s="475" t="str">
        <f>"L"&amp;A8&amp;" + L"&amp;A9&amp;" + L"&amp;A10&amp;" + L"&amp;A11&amp;""</f>
        <v>L1 + L2 + L2a + L3</v>
      </c>
      <c r="K16" s="478"/>
      <c r="L16" s="491">
        <f>SUM(L8:L11)</f>
        <v>14367696054.330769</v>
      </c>
    </row>
    <row r="17" spans="1:28" ht="13">
      <c r="A17" s="14"/>
      <c r="B17" s="44"/>
      <c r="C17" s="478"/>
      <c r="D17" s="478"/>
      <c r="E17" s="478"/>
      <c r="F17" s="478"/>
      <c r="G17" s="478" t="s">
        <v>329</v>
      </c>
      <c r="H17" s="478"/>
      <c r="I17" s="478"/>
      <c r="J17" s="475"/>
      <c r="K17" s="478"/>
      <c r="L17" s="478"/>
    </row>
    <row r="18" spans="1:28" ht="13">
      <c r="A18" s="109"/>
      <c r="B18" s="44"/>
      <c r="C18" s="45" t="s">
        <v>2549</v>
      </c>
      <c r="D18" s="478"/>
      <c r="E18" s="478"/>
      <c r="F18" s="478"/>
      <c r="G18" s="478"/>
      <c r="H18" s="478"/>
      <c r="I18" s="478"/>
      <c r="J18" s="475"/>
      <c r="K18" s="478"/>
      <c r="L18" s="478"/>
    </row>
    <row r="19" spans="1:28" ht="13">
      <c r="A19" s="109">
        <f>A16+1</f>
        <v>9</v>
      </c>
      <c r="B19" s="44"/>
      <c r="C19" s="478" t="s">
        <v>2550</v>
      </c>
      <c r="D19" s="478"/>
      <c r="E19" s="478"/>
      <c r="F19" s="478"/>
      <c r="G19" s="478"/>
      <c r="H19" s="478"/>
      <c r="I19" s="478"/>
      <c r="J19" s="475" t="s">
        <v>2551</v>
      </c>
      <c r="K19" s="478"/>
      <c r="L19" s="1073">
        <v>629079672</v>
      </c>
    </row>
    <row r="20" spans="1:28" ht="13">
      <c r="A20" s="109">
        <f>A19+1</f>
        <v>10</v>
      </c>
      <c r="B20" s="44"/>
      <c r="C20" s="478" t="s">
        <v>2552</v>
      </c>
      <c r="D20" s="478"/>
      <c r="E20" s="478"/>
      <c r="F20" s="478"/>
      <c r="G20" s="478"/>
      <c r="H20" s="478"/>
      <c r="I20" s="478"/>
      <c r="J20" s="475" t="s">
        <v>2553</v>
      </c>
      <c r="K20" s="478"/>
      <c r="L20" s="1073">
        <v>15209740</v>
      </c>
    </row>
    <row r="21" spans="1:28" ht="13">
      <c r="A21" s="109">
        <f t="shared" ref="A21:A27" si="0">A20+1</f>
        <v>11</v>
      </c>
      <c r="B21" s="44"/>
      <c r="C21" s="478" t="s">
        <v>2554</v>
      </c>
      <c r="D21" s="478"/>
      <c r="E21" s="478"/>
      <c r="F21" s="478"/>
      <c r="G21" s="478"/>
      <c r="H21" s="478"/>
      <c r="I21" s="478"/>
      <c r="J21" s="475" t="s">
        <v>2555</v>
      </c>
      <c r="K21" s="478"/>
      <c r="L21" s="1073">
        <v>12446072</v>
      </c>
    </row>
    <row r="22" spans="1:28" ht="13">
      <c r="A22" s="109">
        <f t="shared" si="0"/>
        <v>12</v>
      </c>
      <c r="B22" s="44"/>
      <c r="C22" s="478" t="s">
        <v>2556</v>
      </c>
      <c r="D22" s="478"/>
      <c r="E22" s="478"/>
      <c r="F22" s="478"/>
      <c r="G22" s="478"/>
      <c r="H22" s="478"/>
      <c r="I22" s="478" t="s">
        <v>2557</v>
      </c>
      <c r="J22" s="475" t="s">
        <v>2558</v>
      </c>
      <c r="K22" s="478"/>
      <c r="L22" s="1073">
        <v>-1197123</v>
      </c>
    </row>
    <row r="23" spans="1:28" ht="13">
      <c r="A23" s="109">
        <f t="shared" si="0"/>
        <v>13</v>
      </c>
      <c r="B23" s="44"/>
      <c r="C23" s="478" t="s">
        <v>2559</v>
      </c>
      <c r="D23" s="478"/>
      <c r="E23" s="478"/>
      <c r="F23" s="478"/>
      <c r="G23" s="478"/>
      <c r="H23" s="478"/>
      <c r="I23" s="478" t="s">
        <v>2557</v>
      </c>
      <c r="J23" s="475" t="s">
        <v>2560</v>
      </c>
      <c r="K23" s="478"/>
      <c r="L23" s="1073">
        <v>0</v>
      </c>
    </row>
    <row r="24" spans="1:28" ht="13">
      <c r="A24" s="109" t="s">
        <v>2561</v>
      </c>
      <c r="B24" s="44"/>
      <c r="C24" s="478" t="s">
        <v>2562</v>
      </c>
      <c r="D24" s="478"/>
      <c r="E24" s="478"/>
      <c r="F24" s="478"/>
      <c r="G24" s="478"/>
      <c r="H24" s="478"/>
      <c r="I24" s="478"/>
      <c r="J24" s="475" t="s">
        <v>2563</v>
      </c>
      <c r="K24" s="478"/>
      <c r="L24" s="1073">
        <v>0</v>
      </c>
    </row>
    <row r="25" spans="1:28" ht="13">
      <c r="A25" s="109">
        <f>A23+1</f>
        <v>14</v>
      </c>
      <c r="B25" s="44"/>
      <c r="C25" s="478" t="s">
        <v>2548</v>
      </c>
      <c r="D25" s="478"/>
      <c r="E25" s="478"/>
      <c r="F25" s="478"/>
      <c r="G25" s="478"/>
      <c r="H25" s="478"/>
      <c r="I25" s="478"/>
      <c r="J25" s="475"/>
      <c r="K25" s="478"/>
      <c r="L25" s="490"/>
    </row>
    <row r="26" spans="1:28" ht="13">
      <c r="A26" s="109">
        <f t="shared" si="0"/>
        <v>15</v>
      </c>
      <c r="B26" s="44"/>
      <c r="C26" s="478" t="s">
        <v>2548</v>
      </c>
      <c r="D26" s="478"/>
      <c r="E26" s="478"/>
      <c r="F26" s="478"/>
      <c r="G26" s="478"/>
      <c r="H26" s="478"/>
      <c r="I26" s="478"/>
      <c r="J26" s="475"/>
      <c r="K26" s="478"/>
      <c r="L26" s="1273"/>
    </row>
    <row r="27" spans="1:28" ht="13">
      <c r="A27" s="109">
        <f t="shared" si="0"/>
        <v>16</v>
      </c>
      <c r="B27" s="44"/>
      <c r="C27" s="475" t="s">
        <v>253</v>
      </c>
      <c r="D27" s="478"/>
      <c r="E27" s="478"/>
      <c r="F27" s="478"/>
      <c r="G27" s="478"/>
      <c r="H27" s="478"/>
      <c r="I27" s="14"/>
      <c r="J27" s="475" t="str">
        <f>"Sum of Lines "&amp;A19&amp;" to "&amp;A24&amp;""</f>
        <v>Sum of Lines 9 to 13a</v>
      </c>
      <c r="K27" s="478"/>
      <c r="L27" s="491">
        <f>SUM(L19:L24)</f>
        <v>655538361</v>
      </c>
    </row>
    <row r="28" spans="1:28" ht="13">
      <c r="A28" s="14"/>
      <c r="B28" s="44"/>
      <c r="C28" s="478"/>
      <c r="D28" s="478"/>
      <c r="E28" s="478"/>
      <c r="F28" s="478"/>
      <c r="G28" s="478"/>
      <c r="H28" s="478"/>
      <c r="I28" s="478"/>
      <c r="J28" s="475"/>
      <c r="K28" s="478"/>
      <c r="L28" s="478"/>
    </row>
    <row r="29" spans="1:28" ht="13">
      <c r="A29" s="109">
        <f>A27+1</f>
        <v>17</v>
      </c>
      <c r="B29" s="44"/>
      <c r="C29" s="478" t="s">
        <v>2564</v>
      </c>
      <c r="D29" s="478"/>
      <c r="E29" s="478"/>
      <c r="F29" s="478"/>
      <c r="G29" s="478"/>
      <c r="H29" s="478"/>
      <c r="I29" s="14"/>
      <c r="J29" s="475" t="str">
        <f>"Line "&amp;A27&amp;" / Line "&amp;A16&amp;""</f>
        <v>Line 16 / Line 8</v>
      </c>
      <c r="K29" s="478"/>
      <c r="L29" s="401">
        <f>L27/L16</f>
        <v>4.5625851112183362E-2</v>
      </c>
    </row>
    <row r="30" spans="1:28" ht="13">
      <c r="A30" s="109"/>
      <c r="B30" s="44"/>
      <c r="C30" s="478"/>
      <c r="D30" s="478"/>
      <c r="E30" s="478"/>
      <c r="F30" s="478"/>
      <c r="G30" s="478"/>
      <c r="H30" s="478"/>
      <c r="I30" s="14"/>
      <c r="J30" s="475"/>
      <c r="K30" s="478"/>
      <c r="L30" s="401"/>
    </row>
    <row r="31" spans="1:28" ht="13">
      <c r="A31" s="14"/>
      <c r="B31" s="44"/>
      <c r="C31" s="45" t="s">
        <v>1463</v>
      </c>
      <c r="D31" s="478"/>
      <c r="E31" s="478"/>
      <c r="F31" s="478"/>
      <c r="G31" s="478"/>
      <c r="H31" s="478"/>
      <c r="I31" s="478"/>
      <c r="J31" s="475"/>
      <c r="K31" s="478"/>
      <c r="L31" s="478"/>
    </row>
    <row r="32" spans="1:28" ht="13">
      <c r="A32" s="109">
        <f>A29+1</f>
        <v>18</v>
      </c>
      <c r="B32" s="44"/>
      <c r="C32" s="478" t="s">
        <v>42</v>
      </c>
      <c r="D32" s="478"/>
      <c r="E32" s="478"/>
      <c r="F32" s="478"/>
      <c r="G32" s="478"/>
      <c r="H32" s="478"/>
      <c r="I32" s="478" t="s">
        <v>1616</v>
      </c>
      <c r="J32" s="475" t="str">
        <f>"5-ROR-2, Line "&amp;'5-ROR-2'!A24&amp;""</f>
        <v>5-ROR-2, Line 18</v>
      </c>
      <c r="K32" s="478"/>
      <c r="L32" s="490">
        <f>'5-ROR-2'!C24</f>
        <v>2245054950</v>
      </c>
      <c r="N32" s="109"/>
      <c r="O32" s="490"/>
      <c r="P32" s="490"/>
      <c r="Q32" s="490"/>
      <c r="R32" s="490"/>
      <c r="S32" s="490"/>
      <c r="T32" s="490"/>
      <c r="U32" s="490"/>
      <c r="V32" s="490"/>
      <c r="W32" s="490"/>
      <c r="X32" s="490"/>
      <c r="Y32" s="490"/>
      <c r="Z32" s="490"/>
      <c r="AA32" s="490"/>
      <c r="AB32" s="490"/>
    </row>
    <row r="33" spans="1:28" ht="13">
      <c r="A33" s="109">
        <f>A32+1</f>
        <v>19</v>
      </c>
      <c r="B33" s="44"/>
      <c r="C33" s="478" t="s">
        <v>1459</v>
      </c>
      <c r="D33" s="478"/>
      <c r="E33" s="478"/>
      <c r="F33" s="478"/>
      <c r="G33" s="478"/>
      <c r="H33" s="478"/>
      <c r="I33" s="478" t="s">
        <v>1616</v>
      </c>
      <c r="J33" s="475" t="str">
        <f>"5-ROR-2, Line "&amp;'5-ROR-2'!A26&amp;""</f>
        <v>5-ROR-2, Line 19</v>
      </c>
      <c r="K33" s="478"/>
      <c r="L33" s="490">
        <f>'5-ROR-2'!C26</f>
        <v>-35163418.50555554</v>
      </c>
      <c r="N33" s="109"/>
      <c r="O33" s="490"/>
      <c r="P33" s="490"/>
      <c r="Q33" s="490"/>
      <c r="R33" s="490"/>
      <c r="S33" s="490"/>
      <c r="T33" s="490"/>
      <c r="U33" s="490"/>
      <c r="V33" s="490"/>
      <c r="W33" s="490"/>
      <c r="X33" s="490"/>
      <c r="Y33" s="490"/>
      <c r="Z33" s="490"/>
      <c r="AA33" s="490"/>
      <c r="AB33" s="490"/>
    </row>
    <row r="34" spans="1:28" ht="13">
      <c r="A34" s="109">
        <f>A33+1</f>
        <v>20</v>
      </c>
      <c r="B34" s="44"/>
      <c r="C34" s="478" t="s">
        <v>1154</v>
      </c>
      <c r="D34" s="478"/>
      <c r="E34" s="478"/>
      <c r="F34" s="478"/>
      <c r="G34" s="478"/>
      <c r="H34" s="478"/>
      <c r="I34" s="478" t="s">
        <v>1616</v>
      </c>
      <c r="J34" s="475" t="str">
        <f>"5-ROR-2, Line "&amp;'5-ROR-2'!A28&amp;""</f>
        <v>5-ROR-2, Line 20</v>
      </c>
      <c r="K34" s="478"/>
      <c r="L34" s="492">
        <f>'5-ROR-2'!C28</f>
        <v>-17823980.290312503</v>
      </c>
      <c r="N34" s="109"/>
      <c r="O34" s="490"/>
      <c r="P34" s="490"/>
      <c r="Q34" s="490"/>
      <c r="R34" s="490"/>
      <c r="S34" s="490"/>
      <c r="T34" s="490"/>
      <c r="U34" s="490"/>
      <c r="V34" s="490"/>
      <c r="W34" s="490"/>
      <c r="X34" s="490"/>
      <c r="Y34" s="490"/>
      <c r="Z34" s="490"/>
      <c r="AA34" s="490"/>
      <c r="AB34" s="490"/>
    </row>
    <row r="35" spans="1:28" ht="13">
      <c r="A35" s="109">
        <f>A34+1</f>
        <v>21</v>
      </c>
      <c r="B35" s="44"/>
      <c r="C35" s="475" t="s">
        <v>47</v>
      </c>
      <c r="D35" s="478"/>
      <c r="E35" s="478"/>
      <c r="F35" s="478"/>
      <c r="G35" s="478"/>
      <c r="H35" s="478"/>
      <c r="I35" s="478"/>
      <c r="J35" s="475" t="str">
        <f>"Sum of Lines "&amp;A32&amp;" to "&amp;A34&amp;""</f>
        <v>Sum of Lines 18 to 20</v>
      </c>
      <c r="K35" s="478"/>
      <c r="L35" s="490">
        <f>SUM(L32:L34)</f>
        <v>2192067551.2041321</v>
      </c>
    </row>
    <row r="36" spans="1:28" ht="13">
      <c r="A36" s="109"/>
      <c r="B36" s="44"/>
      <c r="C36" s="478"/>
      <c r="D36" s="478"/>
      <c r="E36" s="478"/>
      <c r="F36" s="478"/>
      <c r="G36" s="478"/>
      <c r="H36" s="478"/>
      <c r="I36" s="478"/>
      <c r="J36" s="475"/>
      <c r="K36" s="478"/>
      <c r="L36" s="490"/>
    </row>
    <row r="37" spans="1:28" ht="13">
      <c r="A37" s="109"/>
      <c r="B37" s="44"/>
      <c r="C37" s="45" t="s">
        <v>2565</v>
      </c>
      <c r="D37" s="478"/>
      <c r="E37" s="478"/>
      <c r="F37" s="478"/>
      <c r="G37" s="478"/>
      <c r="H37" s="478"/>
      <c r="I37" s="478"/>
      <c r="J37" s="475"/>
      <c r="K37" s="478"/>
      <c r="L37" s="490"/>
    </row>
    <row r="38" spans="1:28" ht="13">
      <c r="A38" s="109">
        <f>A35+1</f>
        <v>22</v>
      </c>
      <c r="B38" s="44"/>
      <c r="C38" s="478" t="s">
        <v>2566</v>
      </c>
      <c r="D38" s="478"/>
      <c r="E38" s="478"/>
      <c r="F38" s="478"/>
      <c r="G38" s="478"/>
      <c r="H38" s="478"/>
      <c r="I38" s="478" t="s">
        <v>2567</v>
      </c>
      <c r="J38" s="475" t="s">
        <v>2568</v>
      </c>
      <c r="K38" s="478"/>
      <c r="L38" s="1073">
        <v>120926595</v>
      </c>
    </row>
    <row r="39" spans="1:28" ht="13">
      <c r="A39" s="109">
        <f>A38+1</f>
        <v>23</v>
      </c>
      <c r="B39" s="44"/>
      <c r="C39" s="478" t="s">
        <v>2569</v>
      </c>
      <c r="D39" s="478"/>
      <c r="E39" s="478"/>
      <c r="F39" s="478"/>
      <c r="G39" s="478"/>
      <c r="H39" s="478"/>
      <c r="I39" s="478"/>
      <c r="J39" s="475" t="s">
        <v>282</v>
      </c>
      <c r="K39" s="478"/>
      <c r="L39" s="490">
        <f>'5-ROR-2'!H77</f>
        <v>1036090.6520642734</v>
      </c>
    </row>
    <row r="40" spans="1:28" ht="13">
      <c r="A40" s="109">
        <f>A39+1</f>
        <v>24</v>
      </c>
      <c r="B40" s="44"/>
      <c r="C40" s="478" t="s">
        <v>2570</v>
      </c>
      <c r="D40" s="478"/>
      <c r="E40" s="478"/>
      <c r="F40" s="478"/>
      <c r="G40" s="478"/>
      <c r="H40" s="478"/>
      <c r="I40" s="478"/>
      <c r="J40" s="475" t="s">
        <v>956</v>
      </c>
      <c r="K40" s="478"/>
      <c r="L40" s="490">
        <f>'5-ROR-2'!I63</f>
        <v>3420000.4000000004</v>
      </c>
    </row>
    <row r="41" spans="1:28" ht="13">
      <c r="A41" s="109">
        <f>A40+1</f>
        <v>25</v>
      </c>
      <c r="B41" s="44"/>
      <c r="C41" s="475" t="s">
        <v>2566</v>
      </c>
      <c r="D41" s="478"/>
      <c r="E41" s="478"/>
      <c r="F41" s="478"/>
      <c r="G41" s="478"/>
      <c r="H41" s="478"/>
      <c r="I41" s="14"/>
      <c r="J41" s="475" t="str">
        <f>"Sum of Lines "&amp;A38&amp;" to "&amp;A40&amp;""</f>
        <v>Sum of Lines 22 to 24</v>
      </c>
      <c r="K41" s="478"/>
      <c r="L41" s="491">
        <f>SUM(L38:L40)</f>
        <v>125382686.05206428</v>
      </c>
    </row>
    <row r="42" spans="1:28" ht="13">
      <c r="A42" s="14"/>
      <c r="B42" s="44"/>
      <c r="C42" s="478"/>
      <c r="D42" s="478"/>
      <c r="E42" s="478"/>
      <c r="F42" s="478"/>
      <c r="G42" s="478"/>
      <c r="H42" s="478"/>
      <c r="I42" s="478"/>
      <c r="J42" s="475"/>
      <c r="K42" s="478"/>
      <c r="L42" s="490"/>
    </row>
    <row r="43" spans="1:28" ht="13">
      <c r="A43" s="109">
        <f>A41+1</f>
        <v>26</v>
      </c>
      <c r="B43" s="44"/>
      <c r="C43" s="478" t="s">
        <v>43</v>
      </c>
      <c r="D43" s="478"/>
      <c r="E43" s="478"/>
      <c r="F43" s="478"/>
      <c r="G43" s="478"/>
      <c r="H43" s="478"/>
      <c r="I43" s="14"/>
      <c r="J43" s="475" t="str">
        <f>"Line "&amp;A41&amp;" / Line "&amp;A35&amp;""</f>
        <v>Line 25 / Line 21</v>
      </c>
      <c r="K43" s="478"/>
      <c r="L43" s="401">
        <f>L41/L35</f>
        <v>5.719836780722834E-2</v>
      </c>
    </row>
    <row r="44" spans="1:28" ht="13">
      <c r="A44" s="14"/>
      <c r="B44" s="44"/>
      <c r="C44" s="478"/>
      <c r="D44" s="478"/>
      <c r="E44" s="478"/>
      <c r="F44" s="478"/>
      <c r="G44" s="478"/>
      <c r="H44" s="478"/>
      <c r="I44" s="478"/>
      <c r="J44" s="475"/>
      <c r="K44" s="478"/>
      <c r="L44" s="478"/>
    </row>
    <row r="45" spans="1:28" ht="13">
      <c r="A45" s="14"/>
      <c r="B45" s="44"/>
      <c r="C45" s="45" t="s">
        <v>269</v>
      </c>
      <c r="D45" s="478"/>
      <c r="E45" s="478"/>
      <c r="F45" s="478"/>
      <c r="G45" s="478"/>
      <c r="H45" s="478"/>
      <c r="I45" s="493"/>
      <c r="J45" s="475"/>
      <c r="K45" s="478"/>
      <c r="L45" s="478"/>
    </row>
    <row r="46" spans="1:28" ht="13">
      <c r="A46" s="109">
        <f>A43+1</f>
        <v>27</v>
      </c>
      <c r="B46" s="44"/>
      <c r="C46" s="478" t="s">
        <v>210</v>
      </c>
      <c r="D46" s="478"/>
      <c r="E46" s="478"/>
      <c r="F46" s="478"/>
      <c r="G46" s="478"/>
      <c r="H46" s="478"/>
      <c r="I46" s="478" t="s">
        <v>1616</v>
      </c>
      <c r="J46" s="475" t="str">
        <f>"5-ROR-2, Line "&amp;'5-ROR-2'!A30&amp;""</f>
        <v>5-ROR-2, Line 27</v>
      </c>
      <c r="K46" s="478"/>
      <c r="L46" s="490">
        <f>'5-ROR-2'!C30</f>
        <v>15704168456.186155</v>
      </c>
      <c r="N46" s="109"/>
      <c r="O46" s="490"/>
      <c r="P46" s="490"/>
      <c r="Q46" s="490"/>
      <c r="R46" s="490"/>
      <c r="S46" s="490"/>
      <c r="T46" s="490"/>
      <c r="U46" s="490"/>
      <c r="V46" s="490"/>
      <c r="W46" s="490"/>
      <c r="X46" s="490"/>
      <c r="Y46" s="490"/>
      <c r="Z46" s="490"/>
      <c r="AA46" s="490"/>
      <c r="AB46" s="490"/>
    </row>
    <row r="47" spans="1:28" ht="13">
      <c r="A47" s="109">
        <f>A46+1</f>
        <v>28</v>
      </c>
      <c r="B47" s="44"/>
      <c r="C47" s="478" t="s">
        <v>45</v>
      </c>
      <c r="D47" s="478"/>
      <c r="E47" s="478"/>
      <c r="F47" s="478"/>
      <c r="G47" s="478"/>
      <c r="H47" s="478"/>
      <c r="I47" s="478" t="str">
        <f>"Same as L "&amp;A32&amp;", but negative"</f>
        <v>Same as L 18, but negative</v>
      </c>
      <c r="J47" s="475" t="str">
        <f>"5-ROR-2, Line "&amp;'5-ROR-2'!A24&amp;""</f>
        <v>5-ROR-2, Line 18</v>
      </c>
      <c r="K47" s="478"/>
      <c r="L47" s="490">
        <f>-'5-ROR-2'!C24</f>
        <v>-2245054950</v>
      </c>
      <c r="N47" s="109"/>
      <c r="O47" s="490"/>
      <c r="P47" s="490"/>
      <c r="Q47" s="490"/>
      <c r="R47" s="490"/>
      <c r="S47" s="490"/>
      <c r="T47" s="490"/>
      <c r="U47" s="490"/>
      <c r="V47" s="490"/>
      <c r="W47" s="490"/>
      <c r="X47" s="490"/>
      <c r="Y47" s="490"/>
      <c r="Z47" s="490"/>
      <c r="AA47" s="490"/>
      <c r="AB47" s="490"/>
    </row>
    <row r="48" spans="1:28" ht="13">
      <c r="A48" s="109">
        <f>A47+1</f>
        <v>29</v>
      </c>
      <c r="B48" s="44"/>
      <c r="C48" s="478" t="s">
        <v>1460</v>
      </c>
      <c r="D48" s="478"/>
      <c r="E48" s="478"/>
      <c r="F48" s="478"/>
      <c r="G48" s="478"/>
      <c r="H48" s="478"/>
      <c r="I48" s="478" t="str">
        <f>"Same as L "&amp;A34&amp;", but reverse sign"</f>
        <v>Same as L 20, but reverse sign</v>
      </c>
      <c r="J48" s="475" t="s">
        <v>957</v>
      </c>
      <c r="K48" s="478"/>
      <c r="L48" s="490">
        <f>-L34</f>
        <v>17823980.290312503</v>
      </c>
      <c r="N48" s="109"/>
      <c r="O48" s="490"/>
      <c r="P48" s="490"/>
      <c r="Q48" s="490"/>
      <c r="R48" s="490"/>
      <c r="S48" s="490"/>
      <c r="T48" s="490"/>
      <c r="U48" s="490"/>
      <c r="V48" s="490"/>
      <c r="W48" s="490"/>
      <c r="X48" s="490"/>
      <c r="Y48" s="490"/>
      <c r="Z48" s="490"/>
      <c r="AA48" s="490"/>
      <c r="AB48" s="490"/>
    </row>
    <row r="49" spans="1:28" ht="13">
      <c r="A49" s="109">
        <f>A48+1</f>
        <v>30</v>
      </c>
      <c r="B49" s="44"/>
      <c r="C49" s="478" t="s">
        <v>1461</v>
      </c>
      <c r="D49" s="478"/>
      <c r="E49" s="478"/>
      <c r="F49" s="478"/>
      <c r="G49" s="478"/>
      <c r="H49" s="478"/>
      <c r="I49" s="478" t="s">
        <v>1616</v>
      </c>
      <c r="J49" s="475" t="str">
        <f>"5-ROR-2, Line "&amp;'5-ROR-2'!A32&amp;""</f>
        <v>5-ROR-2, Line 30</v>
      </c>
      <c r="K49" s="478"/>
      <c r="L49" s="490">
        <f>'5-ROR-2'!C32</f>
        <v>2604739.0269230772</v>
      </c>
      <c r="N49" s="109"/>
      <c r="O49" s="490"/>
      <c r="P49" s="490"/>
      <c r="Q49" s="490"/>
      <c r="R49" s="490"/>
      <c r="S49" s="490"/>
      <c r="T49" s="490"/>
      <c r="U49" s="490"/>
      <c r="V49" s="490"/>
      <c r="W49" s="490"/>
      <c r="X49" s="490"/>
      <c r="Y49" s="490"/>
      <c r="Z49" s="490"/>
      <c r="AA49" s="490"/>
      <c r="AB49" s="490"/>
    </row>
    <row r="50" spans="1:28" ht="13">
      <c r="A50" s="109">
        <f>A49+1</f>
        <v>31</v>
      </c>
      <c r="B50" s="44"/>
      <c r="C50" s="478" t="s">
        <v>1462</v>
      </c>
      <c r="D50" s="478"/>
      <c r="E50" s="478"/>
      <c r="F50" s="478"/>
      <c r="G50" s="478"/>
      <c r="H50" s="478"/>
      <c r="I50" s="478" t="s">
        <v>1616</v>
      </c>
      <c r="J50" s="475" t="str">
        <f>"5-ROR-2, Line "&amp;'5-ROR-2'!A34&amp;""</f>
        <v>5-ROR-2, Line 31</v>
      </c>
      <c r="K50" s="478"/>
      <c r="L50" s="490">
        <f>'5-ROR-2'!C34</f>
        <v>25862851.14692308</v>
      </c>
      <c r="N50" s="109"/>
      <c r="O50" s="490"/>
      <c r="P50" s="490"/>
      <c r="Q50" s="490"/>
      <c r="R50" s="490"/>
      <c r="S50" s="490"/>
      <c r="T50" s="490"/>
      <c r="U50" s="490"/>
      <c r="V50" s="490"/>
      <c r="W50" s="490"/>
      <c r="X50" s="490"/>
      <c r="Y50" s="490"/>
      <c r="Z50" s="490"/>
      <c r="AA50" s="490"/>
      <c r="AB50" s="490"/>
    </row>
    <row r="51" spans="1:28" ht="13">
      <c r="A51" s="109">
        <f>A50+1</f>
        <v>32</v>
      </c>
      <c r="B51" s="44"/>
      <c r="C51" s="478" t="s">
        <v>44</v>
      </c>
      <c r="D51" s="478"/>
      <c r="E51" s="478"/>
      <c r="F51" s="478"/>
      <c r="G51" s="478"/>
      <c r="H51" s="478"/>
      <c r="I51" s="478"/>
      <c r="J51" s="475" t="str">
        <f>"Sum of Lines "&amp;A46&amp;" to "&amp;A50&amp;""</f>
        <v>Sum of Lines 27 to 31</v>
      </c>
      <c r="K51" s="478"/>
      <c r="L51" s="491">
        <f>SUM(L46:L50)</f>
        <v>13505405076.650312</v>
      </c>
    </row>
    <row r="52" spans="1:28" ht="13">
      <c r="B52" s="51" t="s">
        <v>230</v>
      </c>
      <c r="C52" s="478"/>
      <c r="D52" s="478"/>
      <c r="E52" s="478"/>
      <c r="F52" s="478"/>
      <c r="G52" s="478"/>
      <c r="H52" s="478"/>
      <c r="I52" s="478"/>
      <c r="J52" s="478"/>
      <c r="K52" s="476"/>
      <c r="L52" s="478"/>
    </row>
    <row r="53" spans="1:28">
      <c r="B53" s="478" t="s">
        <v>2571</v>
      </c>
      <c r="C53" s="14"/>
      <c r="D53" s="14"/>
      <c r="E53" s="14"/>
      <c r="F53" s="14"/>
      <c r="G53" s="14"/>
      <c r="H53" s="14"/>
      <c r="I53" s="14"/>
      <c r="J53" s="478"/>
    </row>
    <row r="54" spans="1:28">
      <c r="B54" s="478" t="s">
        <v>2572</v>
      </c>
      <c r="C54" s="14"/>
      <c r="D54" s="14"/>
      <c r="E54" s="14"/>
      <c r="F54" s="14"/>
      <c r="G54" s="14"/>
      <c r="H54" s="14"/>
      <c r="I54" s="14"/>
      <c r="J54" s="478"/>
    </row>
    <row r="55" spans="1:28">
      <c r="B55" s="478" t="s">
        <v>2573</v>
      </c>
      <c r="C55" s="14"/>
      <c r="D55" s="14"/>
      <c r="E55" s="14"/>
      <c r="F55" s="14"/>
      <c r="G55" s="14"/>
      <c r="H55" s="14"/>
      <c r="I55" s="14"/>
      <c r="J55" s="478"/>
    </row>
    <row r="56" spans="1:28">
      <c r="B56" s="478" t="s">
        <v>2574</v>
      </c>
      <c r="C56" s="14"/>
      <c r="D56" s="14"/>
      <c r="E56" s="14"/>
      <c r="F56" s="14"/>
      <c r="G56" s="14"/>
      <c r="H56" s="14"/>
      <c r="I56" s="14"/>
      <c r="J56" s="14"/>
    </row>
    <row r="57" spans="1:28">
      <c r="B57" s="494" t="str">
        <f>"5) Negative of Line "&amp;A34&amp;""&amp;", charge to common equity reversed for ratemaking."</f>
        <v>5) Negative of Line 20, charge to common equity reversed for ratemaking.</v>
      </c>
      <c r="C57" s="14"/>
      <c r="D57" s="14"/>
      <c r="E57" s="14"/>
      <c r="F57" s="14"/>
      <c r="G57" s="14"/>
      <c r="H57" s="14"/>
      <c r="I57" s="14"/>
      <c r="J57" s="14"/>
    </row>
    <row r="58" spans="1:28">
      <c r="B58" s="476"/>
    </row>
    <row r="59" spans="1:28">
      <c r="B59" s="480"/>
    </row>
    <row r="60" spans="1:28">
      <c r="B60" s="476"/>
    </row>
    <row r="61" spans="1:28">
      <c r="B61" s="480"/>
    </row>
  </sheetData>
  <phoneticPr fontId="23" type="noConversion"/>
  <pageMargins left="0.75" right="0.75" top="1" bottom="1" header="0.5" footer="0.5"/>
  <pageSetup scale="55" orientation="landscape" cellComments="asDisplayed" r:id="rId1"/>
  <headerFooter alignWithMargins="0">
    <oddHeader>&amp;CSchedule 5 ROR-1
Return and Capitalization
&amp;RTO2021 Annual Update
Attachment 5
TO2018 True Up TRR</oddHeader>
    <oddFooter>&amp;R&amp;A</oddFooter>
  </headerFooter>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81"/>
  <sheetViews>
    <sheetView zoomScaleNormal="100" zoomScalePageLayoutView="80" workbookViewId="0"/>
  </sheetViews>
  <sheetFormatPr defaultColWidth="8.54296875" defaultRowHeight="12.5"/>
  <cols>
    <col min="1" max="1" width="4.54296875" style="1048" customWidth="1"/>
    <col min="2" max="2" width="6.453125" style="1048" customWidth="1"/>
    <col min="3" max="3" width="14.54296875" style="1048" customWidth="1"/>
    <col min="4" max="4" width="16.453125" style="1048" customWidth="1"/>
    <col min="5" max="14" width="14.54296875" style="1048" customWidth="1"/>
    <col min="15" max="15" width="14.453125" style="1048" customWidth="1"/>
    <col min="16" max="16" width="18" style="1048" customWidth="1"/>
    <col min="17" max="16384" width="8.54296875" style="1048"/>
  </cols>
  <sheetData>
    <row r="1" spans="1:17" ht="13">
      <c r="A1" s="1" t="s">
        <v>1636</v>
      </c>
      <c r="B1" s="1"/>
    </row>
    <row r="2" spans="1:17" ht="13">
      <c r="A2" s="109" t="s">
        <v>2170</v>
      </c>
      <c r="B2" s="1087">
        <v>2019</v>
      </c>
    </row>
    <row r="3" spans="1:17" ht="13">
      <c r="C3" s="84" t="s">
        <v>359</v>
      </c>
      <c r="D3" s="84" t="s">
        <v>343</v>
      </c>
      <c r="E3" s="84" t="s">
        <v>344</v>
      </c>
      <c r="F3" s="84" t="s">
        <v>345</v>
      </c>
      <c r="G3" s="84" t="s">
        <v>346</v>
      </c>
      <c r="H3" s="84" t="s">
        <v>347</v>
      </c>
      <c r="I3" s="84" t="s">
        <v>348</v>
      </c>
      <c r="J3" s="84" t="s">
        <v>537</v>
      </c>
      <c r="K3" s="84" t="s">
        <v>954</v>
      </c>
      <c r="L3" s="84" t="s">
        <v>967</v>
      </c>
      <c r="M3" s="84" t="s">
        <v>970</v>
      </c>
      <c r="N3" s="84" t="s">
        <v>988</v>
      </c>
      <c r="O3" s="84" t="s">
        <v>1465</v>
      </c>
      <c r="P3" s="84" t="s">
        <v>1466</v>
      </c>
    </row>
    <row r="4" spans="1:17" ht="13">
      <c r="A4" s="3" t="s">
        <v>320</v>
      </c>
      <c r="B4" s="3" t="s">
        <v>1637</v>
      </c>
      <c r="C4" s="37" t="s">
        <v>10</v>
      </c>
      <c r="D4" s="495" t="s">
        <v>180</v>
      </c>
      <c r="E4" s="485" t="s">
        <v>181</v>
      </c>
      <c r="F4" s="485" t="s">
        <v>182</v>
      </c>
      <c r="G4" s="485" t="s">
        <v>195</v>
      </c>
      <c r="H4" s="485" t="s">
        <v>183</v>
      </c>
      <c r="I4" s="485" t="s">
        <v>184</v>
      </c>
      <c r="J4" s="485" t="s">
        <v>1464</v>
      </c>
      <c r="K4" s="485" t="s">
        <v>186</v>
      </c>
      <c r="L4" s="485" t="s">
        <v>187</v>
      </c>
      <c r="M4" s="485" t="s">
        <v>188</v>
      </c>
      <c r="N4" s="485" t="s">
        <v>191</v>
      </c>
      <c r="O4" s="485" t="s">
        <v>190</v>
      </c>
      <c r="P4" s="485" t="s">
        <v>180</v>
      </c>
    </row>
    <row r="5" spans="1:17" ht="13">
      <c r="A5" s="3"/>
      <c r="B5" s="123"/>
      <c r="C5" s="541" t="s">
        <v>2171</v>
      </c>
      <c r="D5" s="559"/>
      <c r="E5" s="485"/>
      <c r="F5" s="485"/>
      <c r="G5" s="485"/>
      <c r="H5" s="485"/>
      <c r="I5" s="485"/>
      <c r="J5" s="485"/>
      <c r="K5" s="485"/>
      <c r="L5" s="485"/>
      <c r="M5" s="485"/>
      <c r="N5" s="485"/>
      <c r="O5" s="485"/>
      <c r="P5" s="485"/>
    </row>
    <row r="6" spans="1:17" ht="13">
      <c r="A6" s="53"/>
      <c r="B6" s="53"/>
      <c r="C6" s="37"/>
      <c r="D6" s="495"/>
      <c r="E6" s="485"/>
      <c r="F6" s="485"/>
      <c r="G6" s="485"/>
      <c r="H6" s="485"/>
      <c r="I6" s="485"/>
      <c r="J6" s="485"/>
      <c r="K6" s="485"/>
      <c r="L6" s="485"/>
      <c r="M6" s="485"/>
      <c r="N6" s="485"/>
      <c r="O6" s="485"/>
      <c r="P6" s="485"/>
    </row>
    <row r="7" spans="1:17" ht="13">
      <c r="B7" s="44" t="s">
        <v>1638</v>
      </c>
      <c r="D7" s="495"/>
      <c r="E7" s="485"/>
      <c r="F7" s="485"/>
      <c r="G7" s="485"/>
      <c r="H7" s="485"/>
      <c r="I7" s="485"/>
      <c r="J7" s="485"/>
      <c r="K7" s="485"/>
      <c r="L7" s="485"/>
      <c r="M7" s="485"/>
      <c r="N7" s="485"/>
      <c r="O7" s="485"/>
      <c r="P7" s="485"/>
    </row>
    <row r="8" spans="1:17" ht="13">
      <c r="A8" s="109">
        <v>1</v>
      </c>
      <c r="B8" s="109"/>
      <c r="C8" s="490">
        <f>SUM(D8:P8)/13</f>
        <v>14061240659.277691</v>
      </c>
      <c r="D8" s="1073">
        <v>12801900000</v>
      </c>
      <c r="E8" s="1073">
        <v>12801899999.969999</v>
      </c>
      <c r="F8" s="1073">
        <v>12762614285.68</v>
      </c>
      <c r="G8" s="1073">
        <v>13862614285.68</v>
      </c>
      <c r="H8" s="1073">
        <v>13862614285.68</v>
      </c>
      <c r="I8" s="1073">
        <v>13862614285.68</v>
      </c>
      <c r="J8" s="1073">
        <v>13862614285.68</v>
      </c>
      <c r="K8" s="1073">
        <v>13862614285.68</v>
      </c>
      <c r="L8" s="1073">
        <v>15023328571.389999</v>
      </c>
      <c r="M8" s="1073">
        <v>15023328571.389999</v>
      </c>
      <c r="N8" s="1073">
        <v>15023328571.389999</v>
      </c>
      <c r="O8" s="1073">
        <v>15023328571.389999</v>
      </c>
      <c r="P8" s="1073">
        <v>15023328571</v>
      </c>
      <c r="Q8" s="476"/>
    </row>
    <row r="9" spans="1:17" ht="13">
      <c r="A9" s="109"/>
      <c r="B9" s="44" t="s">
        <v>2172</v>
      </c>
      <c r="C9" s="7"/>
      <c r="D9" s="490"/>
      <c r="E9" s="490"/>
      <c r="F9" s="490"/>
      <c r="G9" s="490"/>
      <c r="H9" s="490"/>
      <c r="I9" s="490"/>
      <c r="J9" s="490"/>
      <c r="K9" s="490"/>
      <c r="L9" s="490"/>
      <c r="M9" s="490"/>
      <c r="N9" s="490"/>
      <c r="O9" s="490"/>
      <c r="P9" s="490"/>
    </row>
    <row r="10" spans="1:17" ht="13">
      <c r="A10" s="109">
        <f>A8+1</f>
        <v>2</v>
      </c>
      <c r="B10" s="109"/>
      <c r="C10" s="490">
        <f>SUM(D10:P10)/13</f>
        <v>0</v>
      </c>
      <c r="D10" s="1073">
        <v>0</v>
      </c>
      <c r="E10" s="1073">
        <v>0</v>
      </c>
      <c r="F10" s="1073">
        <v>0</v>
      </c>
      <c r="G10" s="1073">
        <v>0</v>
      </c>
      <c r="H10" s="1073">
        <v>0</v>
      </c>
      <c r="I10" s="1073">
        <v>0</v>
      </c>
      <c r="J10" s="1073">
        <v>0</v>
      </c>
      <c r="K10" s="1073">
        <v>0</v>
      </c>
      <c r="L10" s="1073">
        <v>0</v>
      </c>
      <c r="M10" s="1073">
        <v>0</v>
      </c>
      <c r="N10" s="1073">
        <v>0</v>
      </c>
      <c r="O10" s="1073">
        <v>0</v>
      </c>
      <c r="P10" s="1073">
        <v>0</v>
      </c>
      <c r="Q10" s="476"/>
    </row>
    <row r="11" spans="1:17" ht="13">
      <c r="A11" s="109"/>
      <c r="B11" s="44" t="s">
        <v>2511</v>
      </c>
      <c r="C11" s="14"/>
      <c r="D11" s="490"/>
      <c r="E11" s="490"/>
      <c r="F11" s="490"/>
      <c r="G11" s="490"/>
      <c r="H11" s="490"/>
      <c r="I11" s="490"/>
      <c r="J11" s="490"/>
      <c r="K11" s="490"/>
      <c r="L11" s="490"/>
      <c r="M11" s="490"/>
      <c r="N11" s="490"/>
      <c r="O11" s="490"/>
      <c r="P11" s="490"/>
    </row>
    <row r="12" spans="1:17" ht="13">
      <c r="A12" s="109" t="s">
        <v>509</v>
      </c>
      <c r="B12" s="44"/>
      <c r="C12" s="490">
        <f>SUM(D12:P12)/13</f>
        <v>0</v>
      </c>
      <c r="D12" s="509">
        <v>0</v>
      </c>
      <c r="E12" s="509">
        <v>0</v>
      </c>
      <c r="F12" s="509">
        <v>0</v>
      </c>
      <c r="G12" s="509">
        <v>0</v>
      </c>
      <c r="H12" s="509">
        <v>0</v>
      </c>
      <c r="I12" s="509">
        <v>0</v>
      </c>
      <c r="J12" s="509">
        <v>0</v>
      </c>
      <c r="K12" s="509">
        <v>0</v>
      </c>
      <c r="L12" s="509">
        <v>0</v>
      </c>
      <c r="M12" s="509">
        <v>0</v>
      </c>
      <c r="N12" s="509">
        <v>0</v>
      </c>
      <c r="O12" s="509">
        <v>0</v>
      </c>
      <c r="P12" s="509">
        <v>0</v>
      </c>
      <c r="Q12" s="476"/>
    </row>
    <row r="13" spans="1:17" ht="13">
      <c r="A13" s="109"/>
      <c r="B13" s="44" t="s">
        <v>2512</v>
      </c>
      <c r="D13" s="490"/>
      <c r="E13" s="490"/>
      <c r="F13" s="490"/>
      <c r="G13" s="490"/>
      <c r="H13" s="490"/>
      <c r="I13" s="490"/>
      <c r="J13" s="490"/>
      <c r="K13" s="490"/>
      <c r="L13" s="490"/>
      <c r="M13" s="490"/>
      <c r="N13" s="490"/>
      <c r="O13" s="490"/>
      <c r="P13" s="490"/>
    </row>
    <row r="14" spans="1:17" ht="13">
      <c r="A14" s="109">
        <f>A10+1</f>
        <v>3</v>
      </c>
      <c r="B14" s="109"/>
      <c r="C14" s="490">
        <f>SUM(D14:P14)/13</f>
        <v>306455395.05307692</v>
      </c>
      <c r="D14" s="1073">
        <v>306490453</v>
      </c>
      <c r="E14" s="1073">
        <v>306484699.54000002</v>
      </c>
      <c r="F14" s="1073">
        <v>306478922.25999999</v>
      </c>
      <c r="G14" s="1073">
        <v>306473120.62</v>
      </c>
      <c r="H14" s="1073">
        <v>306467294.50999999</v>
      </c>
      <c r="I14" s="1073">
        <v>306461443.82999998</v>
      </c>
      <c r="J14" s="1073">
        <v>306455568.48000002</v>
      </c>
      <c r="K14" s="1073">
        <v>306449668.36000001</v>
      </c>
      <c r="L14" s="1073">
        <v>306443743.36000001</v>
      </c>
      <c r="M14" s="1073">
        <v>306437793.38</v>
      </c>
      <c r="N14" s="1073">
        <v>306431818.31</v>
      </c>
      <c r="O14" s="1073">
        <v>306425818.04000002</v>
      </c>
      <c r="P14" s="1073">
        <v>306419792</v>
      </c>
      <c r="Q14" s="476"/>
    </row>
    <row r="15" spans="1:17" ht="13">
      <c r="A15" s="109"/>
      <c r="B15" s="44"/>
      <c r="C15" s="14"/>
      <c r="D15" s="490"/>
      <c r="E15" s="490"/>
      <c r="F15" s="490"/>
      <c r="G15" s="490"/>
      <c r="H15" s="490"/>
      <c r="I15" s="490"/>
      <c r="J15" s="490"/>
      <c r="K15" s="490"/>
      <c r="L15" s="490"/>
      <c r="M15" s="490"/>
      <c r="N15" s="490"/>
      <c r="O15" s="490"/>
      <c r="P15" s="490"/>
    </row>
    <row r="16" spans="1:17" ht="13">
      <c r="A16" s="109">
        <f>A14+1</f>
        <v>4</v>
      </c>
      <c r="B16" s="386" t="s">
        <v>2513</v>
      </c>
      <c r="C16" s="490"/>
      <c r="D16" s="490"/>
      <c r="E16" s="490"/>
      <c r="F16" s="490"/>
      <c r="G16" s="490"/>
      <c r="H16" s="490"/>
      <c r="I16" s="490"/>
      <c r="J16" s="490"/>
      <c r="K16" s="490"/>
      <c r="L16" s="490"/>
      <c r="M16" s="490"/>
      <c r="N16" s="490"/>
      <c r="O16" s="490"/>
      <c r="P16" s="490"/>
    </row>
    <row r="17" spans="1:17" ht="13">
      <c r="A17" s="109"/>
      <c r="B17" s="44"/>
      <c r="C17" s="14"/>
      <c r="D17" s="490"/>
      <c r="E17" s="490"/>
      <c r="F17" s="490"/>
      <c r="G17" s="490"/>
      <c r="H17" s="490"/>
      <c r="I17" s="490"/>
      <c r="J17" s="490"/>
      <c r="K17" s="490"/>
      <c r="L17" s="490"/>
      <c r="M17" s="490"/>
      <c r="N17" s="490"/>
      <c r="O17" s="490"/>
      <c r="P17" s="490"/>
    </row>
    <row r="18" spans="1:17" ht="13">
      <c r="A18" s="109">
        <f>A16+1</f>
        <v>5</v>
      </c>
      <c r="B18" s="386" t="s">
        <v>2513</v>
      </c>
      <c r="C18" s="490"/>
      <c r="D18" s="490"/>
      <c r="E18" s="490"/>
      <c r="F18" s="490"/>
      <c r="G18" s="490"/>
      <c r="H18" s="490"/>
      <c r="I18" s="490"/>
      <c r="J18" s="490"/>
      <c r="K18" s="490"/>
      <c r="L18" s="490"/>
      <c r="M18" s="490"/>
      <c r="N18" s="490"/>
      <c r="O18" s="490"/>
      <c r="P18" s="490"/>
    </row>
    <row r="19" spans="1:17" ht="13">
      <c r="A19" s="14"/>
      <c r="B19" s="44"/>
      <c r="C19" s="14"/>
      <c r="D19" s="14"/>
      <c r="E19" s="14"/>
      <c r="F19" s="14"/>
      <c r="G19" s="14"/>
      <c r="H19" s="14"/>
      <c r="I19" s="14"/>
      <c r="J19" s="14"/>
      <c r="K19" s="14"/>
      <c r="L19" s="14"/>
      <c r="M19" s="14"/>
      <c r="N19" s="14"/>
      <c r="O19" s="14"/>
      <c r="P19" s="14"/>
    </row>
    <row r="20" spans="1:17" ht="13">
      <c r="A20" s="109">
        <v>6</v>
      </c>
      <c r="B20" s="386" t="s">
        <v>2513</v>
      </c>
      <c r="C20" s="490"/>
      <c r="D20" s="490"/>
      <c r="E20" s="490"/>
      <c r="F20" s="490"/>
      <c r="G20" s="490"/>
      <c r="H20" s="490"/>
      <c r="I20" s="490"/>
      <c r="J20" s="490"/>
      <c r="K20" s="490"/>
      <c r="L20" s="490"/>
      <c r="M20" s="490"/>
      <c r="N20" s="490"/>
      <c r="O20" s="490"/>
      <c r="P20" s="490"/>
    </row>
    <row r="21" spans="1:17" ht="13">
      <c r="A21" s="109"/>
      <c r="B21" s="44"/>
      <c r="C21" s="14"/>
      <c r="D21" s="490"/>
      <c r="E21" s="490"/>
      <c r="F21" s="490"/>
      <c r="G21" s="490"/>
      <c r="H21" s="490"/>
      <c r="I21" s="490"/>
      <c r="J21" s="490"/>
      <c r="K21" s="490"/>
      <c r="L21" s="490"/>
      <c r="M21" s="490"/>
      <c r="N21" s="490"/>
      <c r="O21" s="490"/>
      <c r="P21" s="490"/>
    </row>
    <row r="22" spans="1:17" ht="13">
      <c r="A22" s="109">
        <f>A20+1</f>
        <v>7</v>
      </c>
      <c r="B22" s="386" t="s">
        <v>2513</v>
      </c>
      <c r="C22" s="490"/>
      <c r="D22" s="490"/>
      <c r="E22" s="490"/>
      <c r="F22" s="490"/>
      <c r="G22" s="490"/>
      <c r="H22" s="490"/>
      <c r="I22" s="490"/>
      <c r="J22" s="490"/>
      <c r="K22" s="490"/>
      <c r="L22" s="490"/>
      <c r="M22" s="490"/>
      <c r="N22" s="490"/>
      <c r="O22" s="490"/>
      <c r="P22" s="490"/>
    </row>
    <row r="23" spans="1:17" ht="13">
      <c r="A23" s="14"/>
      <c r="B23" s="44" t="s">
        <v>2514</v>
      </c>
    </row>
    <row r="24" spans="1:17" ht="13">
      <c r="A24" s="109">
        <v>18</v>
      </c>
      <c r="B24" s="109"/>
      <c r="C24" s="490">
        <f t="shared" ref="C24:C30" si="0">SUM(D24:P24)/13</f>
        <v>2245054950</v>
      </c>
      <c r="D24" s="1073">
        <v>2245054950</v>
      </c>
      <c r="E24" s="1073">
        <v>2245054950</v>
      </c>
      <c r="F24" s="1073">
        <v>2245054950</v>
      </c>
      <c r="G24" s="1073">
        <v>2245054950</v>
      </c>
      <c r="H24" s="1073">
        <v>2245054950</v>
      </c>
      <c r="I24" s="1073">
        <v>2245054950</v>
      </c>
      <c r="J24" s="1073">
        <v>2245054950</v>
      </c>
      <c r="K24" s="1073">
        <v>2245054950</v>
      </c>
      <c r="L24" s="1073">
        <v>2245054950</v>
      </c>
      <c r="M24" s="1073">
        <v>2245054950</v>
      </c>
      <c r="N24" s="1073">
        <v>2245054950</v>
      </c>
      <c r="O24" s="1073">
        <v>2245054950</v>
      </c>
      <c r="P24" s="1073">
        <v>2245054950</v>
      </c>
      <c r="Q24" s="476"/>
    </row>
    <row r="25" spans="1:17" ht="13">
      <c r="A25" s="109"/>
      <c r="B25" s="44" t="s">
        <v>2515</v>
      </c>
      <c r="D25" s="490"/>
      <c r="E25" s="490"/>
      <c r="F25" s="490"/>
      <c r="G25" s="490"/>
      <c r="H25" s="490"/>
      <c r="I25" s="490"/>
      <c r="J25" s="490"/>
      <c r="K25" s="490"/>
      <c r="L25" s="490"/>
      <c r="M25" s="490"/>
      <c r="N25" s="490"/>
      <c r="O25" s="490"/>
      <c r="P25" s="490"/>
    </row>
    <row r="26" spans="1:17" ht="13">
      <c r="A26" s="109">
        <f>A24+1</f>
        <v>19</v>
      </c>
      <c r="B26" s="109"/>
      <c r="C26" s="490">
        <f t="shared" si="0"/>
        <v>-35163418.50555554</v>
      </c>
      <c r="D26" s="509">
        <v>-36870625.247222207</v>
      </c>
      <c r="E26" s="509">
        <v>-36586090.790277764</v>
      </c>
      <c r="F26" s="509">
        <v>-36301556.333333321</v>
      </c>
      <c r="G26" s="509">
        <v>-36017021.876388878</v>
      </c>
      <c r="H26" s="509">
        <v>-35732487.419444434</v>
      </c>
      <c r="I26" s="509">
        <v>-35447952.962499984</v>
      </c>
      <c r="J26" s="509">
        <v>-35163418.50555554</v>
      </c>
      <c r="K26" s="509">
        <v>-34878884.048611097</v>
      </c>
      <c r="L26" s="509">
        <v>-34594349.591666661</v>
      </c>
      <c r="M26" s="509">
        <v>-34309815.13472221</v>
      </c>
      <c r="N26" s="509">
        <v>-34025280.677777767</v>
      </c>
      <c r="O26" s="509">
        <v>-33740746.220833324</v>
      </c>
      <c r="P26" s="509">
        <v>-33456211.763888881</v>
      </c>
    </row>
    <row r="27" spans="1:17" ht="13">
      <c r="A27" s="109"/>
      <c r="B27" s="44" t="s">
        <v>2516</v>
      </c>
      <c r="D27" s="490"/>
      <c r="E27" s="490"/>
      <c r="F27" s="490"/>
      <c r="G27" s="490"/>
      <c r="H27" s="490"/>
      <c r="I27" s="490"/>
      <c r="J27" s="490"/>
      <c r="K27" s="490"/>
      <c r="L27" s="490"/>
      <c r="M27" s="490"/>
      <c r="N27" s="490"/>
      <c r="O27" s="490"/>
      <c r="P27" s="490"/>
    </row>
    <row r="28" spans="1:17" ht="13">
      <c r="A28" s="109">
        <f>A26+1</f>
        <v>20</v>
      </c>
      <c r="B28" s="109"/>
      <c r="C28" s="490">
        <f t="shared" si="0"/>
        <v>-17823980.290312503</v>
      </c>
      <c r="D28" s="1073">
        <v>-18337973.014893901</v>
      </c>
      <c r="E28" s="509">
        <v>-18252334.578202222</v>
      </c>
      <c r="F28" s="509">
        <v>-18166696.141510591</v>
      </c>
      <c r="G28" s="509">
        <v>-18081057.70481896</v>
      </c>
      <c r="H28" s="509">
        <v>-17995419.268127326</v>
      </c>
      <c r="I28" s="509">
        <v>-17909780.831435699</v>
      </c>
      <c r="J28" s="509">
        <v>-17824142.394744068</v>
      </c>
      <c r="K28" s="509">
        <v>-17738503.958052438</v>
      </c>
      <c r="L28" s="509">
        <v>-17652865.521360807</v>
      </c>
      <c r="M28" s="509">
        <v>-17567227.079999998</v>
      </c>
      <c r="N28" s="509">
        <v>-17481588.647977501</v>
      </c>
      <c r="O28" s="509">
        <v>-17395247.760305524</v>
      </c>
      <c r="P28" s="509">
        <v>-17308906.872633502</v>
      </c>
    </row>
    <row r="29" spans="1:17" ht="13">
      <c r="A29" s="14"/>
      <c r="B29" s="44" t="s">
        <v>2517</v>
      </c>
    </row>
    <row r="30" spans="1:17" ht="13">
      <c r="A30" s="109">
        <v>27</v>
      </c>
      <c r="B30" s="109"/>
      <c r="C30" s="490">
        <f t="shared" si="0"/>
        <v>15704168456.186155</v>
      </c>
      <c r="D30" s="1073">
        <v>13785814466</v>
      </c>
      <c r="E30" s="509">
        <v>13895712474.389999</v>
      </c>
      <c r="F30" s="509">
        <v>13767842252.379999</v>
      </c>
      <c r="G30" s="509">
        <v>13870286066.51</v>
      </c>
      <c r="H30" s="509">
        <v>14697239347.15</v>
      </c>
      <c r="I30" s="509">
        <v>14816789369.77</v>
      </c>
      <c r="J30" s="509">
        <v>15492646758.120001</v>
      </c>
      <c r="K30" s="509">
        <v>15638828771.209999</v>
      </c>
      <c r="L30" s="509">
        <v>17040370051.540001</v>
      </c>
      <c r="M30" s="509">
        <v>17645554361.889999</v>
      </c>
      <c r="N30" s="509">
        <v>17790078831.189999</v>
      </c>
      <c r="O30" s="509">
        <v>17885756771.27</v>
      </c>
      <c r="P30" s="509">
        <v>17827270409</v>
      </c>
      <c r="Q30" s="476"/>
    </row>
    <row r="31" spans="1:17" ht="13">
      <c r="A31" s="109"/>
      <c r="B31" s="44" t="s">
        <v>2518</v>
      </c>
      <c r="D31" s="490"/>
      <c r="E31" s="490"/>
      <c r="F31" s="490"/>
      <c r="G31" s="490"/>
      <c r="H31" s="490"/>
      <c r="I31" s="490"/>
      <c r="J31" s="490"/>
      <c r="K31" s="490"/>
      <c r="L31" s="490"/>
      <c r="M31" s="490"/>
      <c r="N31" s="490"/>
      <c r="O31" s="490"/>
      <c r="P31" s="490"/>
    </row>
    <row r="32" spans="1:17" ht="13">
      <c r="A32" s="109">
        <v>30</v>
      </c>
      <c r="B32" s="109"/>
      <c r="C32" s="490">
        <f>SUM(D32:P32)/13</f>
        <v>2604739.0269230772</v>
      </c>
      <c r="D32" s="1358">
        <v>2604107</v>
      </c>
      <c r="E32" s="1358">
        <v>2604255.75</v>
      </c>
      <c r="F32" s="1358">
        <v>2604255.75</v>
      </c>
      <c r="G32" s="1358">
        <v>2604255.75</v>
      </c>
      <c r="H32" s="1358">
        <v>2604255.75</v>
      </c>
      <c r="I32" s="1358">
        <v>2604353.25</v>
      </c>
      <c r="J32" s="1358">
        <v>2605065.75</v>
      </c>
      <c r="K32" s="1358">
        <v>2605065.75</v>
      </c>
      <c r="L32" s="1358">
        <v>2605206</v>
      </c>
      <c r="M32" s="1358">
        <v>2605206</v>
      </c>
      <c r="N32" s="1358">
        <v>2605206</v>
      </c>
      <c r="O32" s="1358">
        <v>2605206</v>
      </c>
      <c r="P32" s="1358">
        <v>2605168.6</v>
      </c>
      <c r="Q32" s="476"/>
    </row>
    <row r="33" spans="1:17" ht="13">
      <c r="A33" s="109"/>
      <c r="B33" s="44" t="s">
        <v>2519</v>
      </c>
      <c r="C33" s="14"/>
      <c r="D33" s="479"/>
      <c r="E33" s="479"/>
      <c r="F33" s="479"/>
      <c r="G33" s="479"/>
      <c r="H33" s="479"/>
      <c r="I33" s="479"/>
      <c r="J33" s="479"/>
      <c r="K33" s="479"/>
      <c r="L33" s="479"/>
      <c r="M33" s="479"/>
      <c r="N33" s="479"/>
      <c r="O33" s="479"/>
      <c r="P33" s="479"/>
    </row>
    <row r="34" spans="1:17" ht="13">
      <c r="A34" s="109">
        <f>A32+1</f>
        <v>31</v>
      </c>
      <c r="B34" s="109"/>
      <c r="C34" s="490">
        <f>SUM(D34:P34)/13</f>
        <v>25862851.14692308</v>
      </c>
      <c r="D34" s="1358">
        <v>22574194.449999999</v>
      </c>
      <c r="E34" s="1358">
        <v>22115036.120000001</v>
      </c>
      <c r="F34" s="1358">
        <v>26679120.789999999</v>
      </c>
      <c r="G34" s="1358">
        <v>26605429.539999999</v>
      </c>
      <c r="H34" s="1358">
        <v>26146271.210000001</v>
      </c>
      <c r="I34" s="1358">
        <v>25687112.879999999</v>
      </c>
      <c r="J34" s="1358">
        <v>25613421.649999999</v>
      </c>
      <c r="K34" s="1358">
        <v>25154263.32</v>
      </c>
      <c r="L34" s="1358">
        <v>24695104.989999998</v>
      </c>
      <c r="M34" s="1358">
        <v>24621413.75</v>
      </c>
      <c r="N34" s="1358">
        <v>24162255.420000002</v>
      </c>
      <c r="O34" s="1358">
        <v>23351570.789999999</v>
      </c>
      <c r="P34" s="1358">
        <v>38811870</v>
      </c>
      <c r="Q34" s="476"/>
    </row>
    <row r="35" spans="1:17" ht="13">
      <c r="A35" s="109"/>
      <c r="B35" s="109"/>
      <c r="C35" s="490"/>
      <c r="D35" s="490"/>
      <c r="E35" s="490"/>
      <c r="F35" s="490"/>
      <c r="G35" s="490"/>
      <c r="H35" s="490"/>
      <c r="I35" s="490"/>
      <c r="J35" s="490"/>
      <c r="K35" s="490"/>
      <c r="L35" s="490"/>
      <c r="M35" s="490"/>
      <c r="N35" s="490"/>
      <c r="O35" s="490"/>
      <c r="P35" s="490"/>
    </row>
    <row r="36" spans="1:17" ht="13">
      <c r="A36" s="109"/>
      <c r="B36" s="51" t="s">
        <v>378</v>
      </c>
      <c r="C36" s="490"/>
      <c r="D36" s="490"/>
      <c r="E36" s="490"/>
      <c r="F36" s="490"/>
      <c r="G36" s="490"/>
      <c r="H36" s="490"/>
      <c r="I36" s="490"/>
      <c r="J36" s="490"/>
      <c r="K36" s="490"/>
      <c r="L36" s="490"/>
      <c r="M36" s="490"/>
      <c r="N36" s="490"/>
      <c r="O36" s="490"/>
      <c r="P36" s="490"/>
    </row>
    <row r="37" spans="1:17" ht="13">
      <c r="A37" s="109"/>
      <c r="B37" s="476" t="s">
        <v>1639</v>
      </c>
      <c r="C37" s="490"/>
      <c r="D37" s="490"/>
      <c r="E37" s="490"/>
      <c r="F37" s="490"/>
      <c r="G37" s="490"/>
      <c r="H37" s="490"/>
      <c r="I37" s="490"/>
      <c r="J37" s="490"/>
      <c r="K37" s="490"/>
      <c r="L37" s="490"/>
      <c r="M37" s="490"/>
      <c r="N37" s="490"/>
      <c r="O37" s="490"/>
      <c r="P37" s="490"/>
    </row>
    <row r="38" spans="1:17" ht="13">
      <c r="A38" s="109"/>
      <c r="B38" s="480" t="s">
        <v>1649</v>
      </c>
      <c r="C38" s="490"/>
      <c r="D38" s="490"/>
      <c r="E38" s="490"/>
      <c r="F38" s="490"/>
      <c r="G38" s="490"/>
      <c r="H38" s="490"/>
      <c r="I38" s="490"/>
      <c r="J38" s="490"/>
      <c r="K38" s="490"/>
      <c r="L38" s="490"/>
      <c r="M38" s="490"/>
      <c r="N38" s="490"/>
      <c r="O38" s="490"/>
      <c r="P38" s="490"/>
    </row>
    <row r="39" spans="1:17" ht="13">
      <c r="A39" s="109"/>
      <c r="B39" s="478" t="s">
        <v>2520</v>
      </c>
      <c r="C39" s="386" t="s">
        <v>2513</v>
      </c>
      <c r="D39" s="490"/>
      <c r="E39" s="490"/>
      <c r="F39" s="490"/>
      <c r="G39" s="490"/>
      <c r="H39" s="490"/>
      <c r="I39" s="490"/>
      <c r="J39" s="490"/>
      <c r="K39" s="490"/>
      <c r="L39" s="490"/>
      <c r="M39" s="490"/>
      <c r="N39" s="490"/>
      <c r="O39" s="490"/>
      <c r="P39" s="490"/>
    </row>
    <row r="40" spans="1:17">
      <c r="A40" s="14"/>
      <c r="B40" s="929" t="s">
        <v>2521</v>
      </c>
      <c r="C40" s="14"/>
      <c r="D40" s="14"/>
      <c r="E40" s="14"/>
      <c r="F40" s="14"/>
      <c r="G40" s="14"/>
      <c r="H40" s="14"/>
      <c r="I40" s="14"/>
      <c r="J40" s="14"/>
      <c r="K40" s="14"/>
      <c r="L40" s="14"/>
    </row>
    <row r="41" spans="1:17">
      <c r="A41" s="14"/>
      <c r="B41" s="475"/>
      <c r="C41" s="14"/>
      <c r="D41" s="14"/>
      <c r="E41" s="14"/>
      <c r="F41" s="14"/>
      <c r="G41" s="14"/>
      <c r="H41" s="14"/>
      <c r="I41" s="14"/>
      <c r="J41" s="14"/>
      <c r="K41" s="14"/>
      <c r="L41" s="14"/>
    </row>
    <row r="42" spans="1:17" ht="13">
      <c r="A42" s="14"/>
      <c r="B42" s="44" t="s">
        <v>230</v>
      </c>
      <c r="C42" s="14"/>
      <c r="D42" s="14"/>
      <c r="E42" s="14"/>
      <c r="F42" s="14"/>
      <c r="G42" s="14"/>
      <c r="H42" s="14"/>
      <c r="I42" s="14"/>
      <c r="J42" s="14"/>
      <c r="K42" s="14"/>
      <c r="L42" s="14"/>
    </row>
    <row r="43" spans="1:17">
      <c r="A43" s="14"/>
      <c r="B43" s="478" t="s">
        <v>1757</v>
      </c>
      <c r="C43" s="14"/>
      <c r="D43" s="14"/>
      <c r="E43" s="14"/>
      <c r="F43" s="14"/>
      <c r="G43" s="14"/>
      <c r="H43" s="14"/>
      <c r="I43" s="14"/>
      <c r="J43" s="14"/>
      <c r="K43" s="14"/>
      <c r="L43" s="14"/>
    </row>
    <row r="44" spans="1:17">
      <c r="A44" s="14"/>
      <c r="B44" s="478" t="s">
        <v>1758</v>
      </c>
      <c r="C44" s="14"/>
      <c r="D44" s="14"/>
      <c r="E44" s="14"/>
      <c r="F44" s="14"/>
      <c r="G44" s="14"/>
      <c r="H44" s="14"/>
      <c r="I44" s="14"/>
      <c r="J44" s="14"/>
      <c r="K44" s="14"/>
      <c r="L44" s="14"/>
    </row>
    <row r="45" spans="1:17">
      <c r="A45" s="14"/>
      <c r="B45" s="478" t="s">
        <v>2522</v>
      </c>
      <c r="C45" s="14"/>
      <c r="D45" s="14"/>
      <c r="E45" s="14"/>
      <c r="F45" s="14"/>
      <c r="G45" s="14"/>
      <c r="H45" s="14"/>
      <c r="I45" s="14"/>
      <c r="J45" s="14"/>
      <c r="K45" s="14"/>
      <c r="L45" s="14"/>
    </row>
    <row r="46" spans="1:17">
      <c r="A46" s="14"/>
      <c r="B46" s="478" t="s">
        <v>2523</v>
      </c>
      <c r="C46" s="14"/>
      <c r="D46" s="14"/>
      <c r="E46" s="14"/>
      <c r="F46" s="14"/>
      <c r="G46" s="14"/>
      <c r="H46" s="14"/>
      <c r="I46" s="14"/>
      <c r="J46" s="14"/>
      <c r="K46" s="14"/>
      <c r="L46" s="14"/>
    </row>
    <row r="47" spans="1:17" ht="13">
      <c r="A47" s="14"/>
      <c r="B47" s="478" t="s">
        <v>2524</v>
      </c>
      <c r="C47" s="386" t="s">
        <v>2513</v>
      </c>
      <c r="D47" s="14"/>
      <c r="E47" s="14"/>
      <c r="F47" s="14"/>
      <c r="G47" s="14"/>
      <c r="H47" s="14"/>
      <c r="I47" s="14"/>
      <c r="J47" s="14"/>
      <c r="K47" s="14"/>
      <c r="L47" s="14"/>
    </row>
    <row r="48" spans="1:17" ht="13">
      <c r="A48" s="14"/>
      <c r="B48" s="478" t="s">
        <v>2525</v>
      </c>
      <c r="C48" s="386" t="s">
        <v>2513</v>
      </c>
      <c r="D48" s="14"/>
      <c r="E48" s="14"/>
      <c r="F48" s="14"/>
      <c r="G48" s="14"/>
      <c r="H48" s="14"/>
      <c r="I48" s="14"/>
      <c r="J48" s="14"/>
      <c r="K48" s="14"/>
      <c r="L48" s="14"/>
    </row>
    <row r="49" spans="1:13" ht="13">
      <c r="A49" s="14"/>
      <c r="B49" s="478" t="s">
        <v>2526</v>
      </c>
      <c r="C49" s="386" t="s">
        <v>2513</v>
      </c>
      <c r="D49" s="14"/>
      <c r="E49" s="14"/>
      <c r="F49" s="14"/>
      <c r="G49" s="14"/>
      <c r="H49" s="14"/>
      <c r="I49" s="14"/>
      <c r="J49" s="14"/>
      <c r="K49" s="14"/>
      <c r="L49" s="14"/>
    </row>
    <row r="50" spans="1:13" ht="13">
      <c r="A50" s="14"/>
      <c r="B50" s="478" t="s">
        <v>2527</v>
      </c>
      <c r="C50" s="386" t="s">
        <v>2513</v>
      </c>
      <c r="D50" s="14"/>
      <c r="E50" s="14"/>
      <c r="F50" s="14"/>
      <c r="G50" s="14"/>
      <c r="H50" s="14"/>
      <c r="I50" s="14"/>
      <c r="J50" s="14"/>
      <c r="K50" s="14"/>
      <c r="L50" s="14"/>
    </row>
    <row r="51" spans="1:13">
      <c r="A51" s="14"/>
      <c r="B51" s="478" t="s">
        <v>2528</v>
      </c>
      <c r="C51" s="14"/>
      <c r="D51" s="14"/>
      <c r="E51" s="14"/>
      <c r="F51" s="14"/>
      <c r="G51" s="14"/>
      <c r="H51" s="14"/>
      <c r="I51" s="14"/>
      <c r="J51" s="14"/>
      <c r="K51" s="14"/>
      <c r="L51" s="14"/>
    </row>
    <row r="52" spans="1:13">
      <c r="A52" s="14"/>
      <c r="B52" s="478" t="s">
        <v>2529</v>
      </c>
      <c r="C52" s="14"/>
      <c r="D52" s="14"/>
      <c r="E52" s="14"/>
      <c r="F52" s="14"/>
      <c r="G52" s="14"/>
      <c r="H52" s="14"/>
      <c r="I52" s="14"/>
      <c r="J52" s="14"/>
      <c r="K52" s="14"/>
      <c r="L52" s="14"/>
    </row>
    <row r="53" spans="1:13">
      <c r="A53" s="14"/>
      <c r="B53" s="475" t="s">
        <v>2530</v>
      </c>
      <c r="C53" s="14"/>
      <c r="D53" s="14"/>
      <c r="E53" s="14"/>
      <c r="F53" s="14"/>
      <c r="G53" s="14"/>
      <c r="H53" s="14"/>
      <c r="I53" s="14"/>
      <c r="J53" s="14"/>
      <c r="K53" s="14"/>
      <c r="L53" s="14"/>
    </row>
    <row r="54" spans="1:13" ht="13">
      <c r="A54" s="14"/>
      <c r="B54" s="14"/>
      <c r="C54" s="14"/>
      <c r="D54" s="14"/>
      <c r="E54" s="14"/>
      <c r="F54" s="14"/>
      <c r="G54" s="14"/>
      <c r="H54" s="109" t="s">
        <v>2531</v>
      </c>
      <c r="I54" s="14"/>
      <c r="J54" s="14"/>
      <c r="K54" s="14"/>
      <c r="L54" s="14"/>
    </row>
    <row r="55" spans="1:13" ht="13">
      <c r="A55" s="14"/>
      <c r="B55" s="14"/>
      <c r="C55" s="109"/>
      <c r="D55" s="14"/>
      <c r="E55" s="109" t="s">
        <v>2532</v>
      </c>
      <c r="F55" s="109" t="s">
        <v>2533</v>
      </c>
      <c r="G55" s="109" t="s">
        <v>2533</v>
      </c>
      <c r="H55" s="109" t="s">
        <v>199</v>
      </c>
      <c r="I55" s="109" t="s">
        <v>1339</v>
      </c>
      <c r="J55" s="14"/>
      <c r="K55" s="14"/>
      <c r="L55" s="14"/>
    </row>
    <row r="56" spans="1:13" ht="13">
      <c r="A56" s="14"/>
      <c r="B56" s="14"/>
      <c r="C56" s="123" t="s">
        <v>2534</v>
      </c>
      <c r="D56" s="14"/>
      <c r="E56" s="123" t="s">
        <v>175</v>
      </c>
      <c r="F56" s="123" t="s">
        <v>2535</v>
      </c>
      <c r="G56" s="123" t="s">
        <v>2536</v>
      </c>
      <c r="H56" s="358" t="s">
        <v>2537</v>
      </c>
      <c r="I56" s="123" t="s">
        <v>2531</v>
      </c>
      <c r="J56" s="123" t="s">
        <v>168</v>
      </c>
      <c r="K56" s="14"/>
      <c r="L56" s="14"/>
    </row>
    <row r="57" spans="1:13">
      <c r="A57" s="14"/>
      <c r="B57" s="14"/>
      <c r="C57" s="1267" t="s">
        <v>2730</v>
      </c>
      <c r="D57" s="1021"/>
      <c r="E57" s="1072">
        <v>350000000</v>
      </c>
      <c r="F57" s="1268">
        <v>40925</v>
      </c>
      <c r="G57" s="1359">
        <v>5957289</v>
      </c>
      <c r="H57" s="149">
        <v>10</v>
      </c>
      <c r="I57" s="526">
        <v>595728.9</v>
      </c>
      <c r="J57" s="95"/>
      <c r="K57" s="95"/>
      <c r="L57" s="95"/>
      <c r="M57" s="95"/>
    </row>
    <row r="58" spans="1:13">
      <c r="A58" s="14"/>
      <c r="B58" s="14"/>
      <c r="C58" s="1267" t="s">
        <v>2731</v>
      </c>
      <c r="D58" s="1021"/>
      <c r="E58" s="1072">
        <v>400000000</v>
      </c>
      <c r="F58" s="1268">
        <v>41303</v>
      </c>
      <c r="G58" s="1359">
        <v>12972287</v>
      </c>
      <c r="H58" s="149">
        <v>30</v>
      </c>
      <c r="I58" s="526">
        <v>432409.566666667</v>
      </c>
      <c r="J58" s="95"/>
      <c r="K58" s="95"/>
      <c r="L58" s="95"/>
      <c r="M58" s="95"/>
    </row>
    <row r="59" spans="1:13">
      <c r="A59" s="14"/>
      <c r="B59" s="14"/>
      <c r="C59" s="1267" t="s">
        <v>2732</v>
      </c>
      <c r="D59" s="1021"/>
      <c r="E59" s="1072">
        <v>275000000</v>
      </c>
      <c r="F59" s="1268">
        <v>41704</v>
      </c>
      <c r="G59" s="1359">
        <v>6272358</v>
      </c>
      <c r="H59" s="149">
        <v>10</v>
      </c>
      <c r="I59" s="526">
        <v>627235.80000000005</v>
      </c>
      <c r="J59" s="95"/>
      <c r="K59" s="95"/>
      <c r="L59" s="95"/>
      <c r="M59" s="95"/>
    </row>
    <row r="60" spans="1:13">
      <c r="A60" s="14"/>
      <c r="B60" s="14"/>
      <c r="C60" s="1267" t="s">
        <v>2733</v>
      </c>
      <c r="D60" s="1269"/>
      <c r="E60" s="1072">
        <v>325000000</v>
      </c>
      <c r="F60" s="1268">
        <v>42240</v>
      </c>
      <c r="G60" s="1359">
        <v>6419578</v>
      </c>
      <c r="H60" s="149">
        <v>10</v>
      </c>
      <c r="I60" s="526">
        <v>641957.80000000005</v>
      </c>
      <c r="J60" s="95"/>
      <c r="K60" s="95"/>
      <c r="L60" s="95"/>
      <c r="M60" s="95"/>
    </row>
    <row r="61" spans="1:13">
      <c r="A61" s="14"/>
      <c r="B61" s="14"/>
      <c r="C61" s="1021" t="s">
        <v>2734</v>
      </c>
      <c r="D61" s="1269"/>
      <c r="E61" s="1072">
        <v>300000000</v>
      </c>
      <c r="F61" s="1268">
        <v>42437</v>
      </c>
      <c r="G61" s="1359">
        <v>6959810</v>
      </c>
      <c r="H61" s="149">
        <v>10</v>
      </c>
      <c r="I61" s="526">
        <v>695981</v>
      </c>
      <c r="J61" s="1054"/>
      <c r="K61" s="95"/>
      <c r="L61" s="95"/>
      <c r="M61" s="95"/>
    </row>
    <row r="62" spans="1:13">
      <c r="A62" s="14"/>
      <c r="B62" s="14"/>
      <c r="C62" s="1021" t="s">
        <v>2735</v>
      </c>
      <c r="D62" s="1269"/>
      <c r="E62" s="1072">
        <v>475000000</v>
      </c>
      <c r="F62" s="1268">
        <v>42912</v>
      </c>
      <c r="G62" s="1076">
        <v>12800620</v>
      </c>
      <c r="H62" s="149">
        <v>30</v>
      </c>
      <c r="I62" s="1072">
        <v>426687.33333333302</v>
      </c>
      <c r="J62" s="1024" t="s">
        <v>2736</v>
      </c>
      <c r="K62" s="95"/>
      <c r="L62" s="95"/>
      <c r="M62" s="95"/>
    </row>
    <row r="63" spans="1:13">
      <c r="A63" s="14"/>
      <c r="B63" s="14"/>
      <c r="C63" s="593"/>
      <c r="D63" s="593"/>
      <c r="E63" s="14"/>
      <c r="F63" s="14"/>
      <c r="G63" s="63"/>
      <c r="H63" s="14"/>
      <c r="I63" s="471">
        <f>SUM(I57:I62)</f>
        <v>3420000.4000000004</v>
      </c>
      <c r="J63" s="478" t="s">
        <v>2538</v>
      </c>
      <c r="K63" s="14"/>
      <c r="L63" s="14"/>
      <c r="M63" s="14"/>
    </row>
    <row r="64" spans="1:13">
      <c r="A64" s="14"/>
      <c r="B64" s="478" t="s">
        <v>2539</v>
      </c>
      <c r="G64" s="14"/>
      <c r="H64" s="14"/>
      <c r="I64" s="14"/>
      <c r="J64" s="14"/>
      <c r="K64" s="14"/>
      <c r="L64" s="14"/>
      <c r="M64" s="14"/>
    </row>
    <row r="65" spans="1:13">
      <c r="A65" s="14"/>
      <c r="B65" s="475" t="s">
        <v>2540</v>
      </c>
      <c r="G65" s="14"/>
      <c r="H65" s="14"/>
      <c r="I65" s="14"/>
      <c r="J65" s="14"/>
      <c r="K65" s="14"/>
      <c r="L65" s="14"/>
      <c r="M65" s="14"/>
    </row>
    <row r="66" spans="1:13" ht="13">
      <c r="A66" s="14"/>
      <c r="B66" s="14"/>
      <c r="G66" s="109" t="s">
        <v>2531</v>
      </c>
      <c r="H66" s="14"/>
      <c r="I66" s="14"/>
      <c r="J66" s="14"/>
      <c r="K66" s="14"/>
      <c r="L66" s="14"/>
      <c r="M66" s="14"/>
    </row>
    <row r="67" spans="1:13" ht="13">
      <c r="A67" s="14"/>
      <c r="B67" s="14"/>
      <c r="C67" s="109"/>
      <c r="E67" s="572" t="s">
        <v>2541</v>
      </c>
      <c r="F67" s="109" t="s">
        <v>2531</v>
      </c>
      <c r="G67" s="109" t="s">
        <v>199</v>
      </c>
      <c r="H67" s="109" t="s">
        <v>1339</v>
      </c>
      <c r="I67" s="109"/>
      <c r="J67" s="14"/>
      <c r="K67" s="14"/>
      <c r="L67" s="14"/>
      <c r="M67" s="14"/>
    </row>
    <row r="68" spans="1:13" ht="13">
      <c r="A68" s="14"/>
      <c r="B68" s="14"/>
      <c r="C68" s="123" t="s">
        <v>2542</v>
      </c>
      <c r="E68" s="123" t="s">
        <v>2535</v>
      </c>
      <c r="F68" s="123" t="s">
        <v>175</v>
      </c>
      <c r="G68" s="358" t="s">
        <v>2537</v>
      </c>
      <c r="H68" s="123" t="s">
        <v>2531</v>
      </c>
      <c r="I68" s="123" t="s">
        <v>168</v>
      </c>
      <c r="J68" s="14"/>
      <c r="K68" s="14"/>
      <c r="L68" s="14"/>
      <c r="M68" s="14"/>
    </row>
    <row r="69" spans="1:13">
      <c r="A69" s="14"/>
      <c r="B69" s="14"/>
      <c r="C69" s="1267" t="s">
        <v>2737</v>
      </c>
      <c r="D69" s="1021"/>
      <c r="E69" s="1270">
        <v>31444</v>
      </c>
      <c r="F69" s="1072">
        <v>15312.5</v>
      </c>
      <c r="G69" s="149">
        <v>34</v>
      </c>
      <c r="H69" s="1072">
        <v>183750</v>
      </c>
      <c r="I69" s="95"/>
      <c r="J69" s="95"/>
      <c r="K69" s="95"/>
      <c r="L69" s="95"/>
      <c r="M69" s="95"/>
    </row>
    <row r="70" spans="1:13">
      <c r="A70" s="14"/>
      <c r="B70" s="14"/>
      <c r="C70" s="1267" t="s">
        <v>2737</v>
      </c>
      <c r="D70" s="1021"/>
      <c r="E70" s="1270">
        <v>31444</v>
      </c>
      <c r="F70" s="1072">
        <v>2512.25490196077</v>
      </c>
      <c r="G70" s="149">
        <v>34</v>
      </c>
      <c r="H70" s="1072">
        <v>30147.058823529402</v>
      </c>
      <c r="I70" s="95"/>
      <c r="J70" s="95"/>
      <c r="K70" s="95"/>
      <c r="L70" s="95"/>
      <c r="M70" s="95"/>
    </row>
    <row r="71" spans="1:13">
      <c r="A71" s="14"/>
      <c r="B71" s="14"/>
      <c r="C71" s="1267" t="s">
        <v>2738</v>
      </c>
      <c r="D71" s="1021"/>
      <c r="E71" s="1270">
        <v>41333</v>
      </c>
      <c r="F71" s="1359">
        <v>7184.3082793209724</v>
      </c>
      <c r="G71" s="149">
        <v>30</v>
      </c>
      <c r="H71" s="1072">
        <v>86211.699351851697</v>
      </c>
      <c r="I71" s="95" t="s">
        <v>2739</v>
      </c>
      <c r="J71" s="95"/>
      <c r="K71" s="95"/>
      <c r="L71" s="95"/>
      <c r="M71" s="95"/>
    </row>
    <row r="72" spans="1:13">
      <c r="A72" s="14"/>
      <c r="B72" s="14"/>
      <c r="C72" s="1267" t="s">
        <v>2740</v>
      </c>
      <c r="D72" s="1021"/>
      <c r="E72" s="1271">
        <v>41333</v>
      </c>
      <c r="F72" s="1359">
        <v>8019.0721450617775</v>
      </c>
      <c r="G72" s="698">
        <v>30</v>
      </c>
      <c r="H72" s="509">
        <v>96228.865740741297</v>
      </c>
      <c r="I72" s="1054" t="s">
        <v>2739</v>
      </c>
      <c r="J72" s="1054"/>
      <c r="K72" s="95"/>
      <c r="L72" s="95"/>
      <c r="M72" s="95"/>
    </row>
    <row r="73" spans="1:13" ht="13">
      <c r="A73" s="14"/>
      <c r="B73" s="14"/>
      <c r="C73" s="1296" t="s">
        <v>2746</v>
      </c>
      <c r="D73" s="1297"/>
      <c r="E73" s="1268">
        <v>42460</v>
      </c>
      <c r="F73" s="1359">
        <v>17898.354166666759</v>
      </c>
      <c r="G73" s="1164">
        <v>10</v>
      </c>
      <c r="H73" s="1072">
        <v>214780.25000000099</v>
      </c>
      <c r="I73" s="1298" t="s">
        <v>2747</v>
      </c>
      <c r="J73" s="1298"/>
      <c r="K73" s="1298"/>
      <c r="L73" s="95"/>
      <c r="M73" s="95"/>
    </row>
    <row r="74" spans="1:13" ht="13">
      <c r="A74" s="14"/>
      <c r="B74" s="14"/>
      <c r="C74" s="1296" t="s">
        <v>2748</v>
      </c>
      <c r="D74" s="1297"/>
      <c r="E74" s="1268">
        <v>42935</v>
      </c>
      <c r="F74" s="1359">
        <v>35414.398179012474</v>
      </c>
      <c r="G74" s="1164">
        <v>30</v>
      </c>
      <c r="H74" s="1072">
        <v>424972.77814815001</v>
      </c>
      <c r="I74" s="1394"/>
      <c r="J74" s="1394"/>
      <c r="K74" s="1394"/>
      <c r="L74" s="95"/>
      <c r="M74" s="95"/>
    </row>
    <row r="75" spans="1:13">
      <c r="A75" s="14"/>
      <c r="B75" s="14"/>
      <c r="C75" s="1021"/>
      <c r="D75" s="1021"/>
      <c r="E75" s="1271"/>
      <c r="F75" s="509"/>
      <c r="G75" s="1164"/>
      <c r="H75" s="509"/>
      <c r="I75" s="1054"/>
      <c r="J75" s="1054"/>
      <c r="K75" s="95"/>
      <c r="L75" s="95"/>
      <c r="M75" s="95"/>
    </row>
    <row r="76" spans="1:13">
      <c r="A76" s="14"/>
      <c r="B76" s="14"/>
      <c r="C76" s="1021"/>
      <c r="D76" s="1021"/>
      <c r="E76" s="1271"/>
      <c r="F76" s="509"/>
      <c r="G76" s="1164"/>
      <c r="H76" s="509"/>
      <c r="I76" s="1054"/>
      <c r="J76" s="1054"/>
      <c r="K76" s="95"/>
      <c r="L76" s="95"/>
      <c r="M76" s="95"/>
    </row>
    <row r="77" spans="1:13">
      <c r="A77" s="14"/>
      <c r="B77" s="14"/>
      <c r="C77" s="593"/>
      <c r="D77" s="593"/>
      <c r="E77" s="14"/>
      <c r="F77" s="63"/>
      <c r="G77" s="14"/>
      <c r="H77" s="471">
        <f>SUM(H69:H76)</f>
        <v>1036090.6520642734</v>
      </c>
      <c r="I77" s="478" t="s">
        <v>2543</v>
      </c>
      <c r="J77" s="14"/>
      <c r="K77" s="14"/>
      <c r="L77" s="14"/>
      <c r="M77" s="14"/>
    </row>
    <row r="78" spans="1:13">
      <c r="A78" s="14"/>
      <c r="B78" s="14"/>
      <c r="C78" s="14"/>
      <c r="D78" s="14"/>
      <c r="E78" s="14"/>
      <c r="F78" s="1299"/>
      <c r="G78" s="14"/>
      <c r="H78" s="14"/>
      <c r="I78" s="14"/>
      <c r="J78" s="14"/>
      <c r="K78" s="14"/>
      <c r="L78" s="14"/>
      <c r="M78" s="14"/>
    </row>
    <row r="79" spans="1:13">
      <c r="A79" s="14"/>
      <c r="B79" s="478" t="s">
        <v>2544</v>
      </c>
      <c r="C79" s="14"/>
      <c r="D79" s="14"/>
      <c r="E79" s="14"/>
      <c r="F79" s="14"/>
      <c r="G79" s="14"/>
      <c r="H79" s="14"/>
      <c r="I79" s="14"/>
      <c r="J79" s="14"/>
      <c r="K79" s="14"/>
      <c r="L79" s="14"/>
      <c r="M79" s="14"/>
    </row>
    <row r="80" spans="1:13">
      <c r="A80" s="14"/>
      <c r="B80" s="478" t="s">
        <v>2545</v>
      </c>
      <c r="C80" s="14"/>
      <c r="D80" s="14"/>
      <c r="E80" s="14"/>
      <c r="F80" s="14"/>
      <c r="G80" s="14"/>
      <c r="H80" s="14"/>
      <c r="I80" s="14"/>
      <c r="J80" s="14"/>
      <c r="K80" s="14"/>
      <c r="L80" s="14"/>
      <c r="M80" s="14"/>
    </row>
    <row r="81" spans="1:13">
      <c r="A81" s="14"/>
      <c r="B81" s="478" t="s">
        <v>2546</v>
      </c>
      <c r="C81" s="14"/>
      <c r="D81" s="14"/>
      <c r="E81" s="14"/>
      <c r="F81" s="14"/>
      <c r="G81" s="14"/>
      <c r="H81" s="14"/>
      <c r="I81" s="14"/>
      <c r="J81" s="14"/>
      <c r="K81" s="14"/>
      <c r="L81" s="14"/>
      <c r="M81" s="14"/>
    </row>
  </sheetData>
  <mergeCells count="1">
    <mergeCell ref="I74:K74"/>
  </mergeCells>
  <pageMargins left="0.7" right="0.7" top="0.75" bottom="0.75" header="0.3" footer="0.3"/>
  <pageSetup scale="56" fitToHeight="0" orientation="landscape" cellComments="asDisplayed" r:id="rId1"/>
  <headerFooter>
    <oddHeader>&amp;CSchedule 5 ROR-2
Return and Capitalization
&amp;RTO2021 Annual Update
Attachment 5
TO2018 True Up TRR</oddHeader>
    <oddFooter>&amp;R5-ROR-2</oddFooter>
  </headerFooter>
  <rowBreaks count="1" manualBreakCount="1">
    <brk id="6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41</vt:i4>
      </vt:variant>
    </vt:vector>
  </HeadingPairs>
  <TitlesOfParts>
    <vt:vector size="81" baseType="lpstr">
      <vt:lpstr>Heading</vt:lpstr>
      <vt:lpstr>Contents</vt:lpstr>
      <vt:lpstr>Overview</vt:lpstr>
      <vt:lpstr>1-BaseTRR</vt:lpstr>
      <vt:lpstr>2-IFPTRR</vt:lpstr>
      <vt:lpstr>3-TrueUpAdjust</vt:lpstr>
      <vt:lpstr>4-TUTRR</vt:lpstr>
      <vt:lpstr>5-ROR-1</vt:lpstr>
      <vt:lpstr>5-ROR-2</vt:lpstr>
      <vt:lpstr>5-ROR-3</vt:lpstr>
      <vt:lpstr>5-ROR-4</vt:lpstr>
      <vt:lpstr>6-PlantInService</vt:lpstr>
      <vt:lpstr>7-PlantStudy</vt:lpstr>
      <vt:lpstr>8-AccDep</vt:lpstr>
      <vt:lpstr>9-ADIT</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'3-TrueUpAdjust'!Print_Area</vt:lpstr>
      <vt:lpstr>'4-TUTRR'!Print_Area</vt:lpstr>
      <vt:lpstr>'5-ROR-2'!Print_Area</vt:lpstr>
      <vt:lpstr>'5-ROR-3'!Print_Area</vt:lpstr>
      <vt:lpstr>'5-ROR-4'!Print_Area</vt:lpstr>
      <vt:lpstr>'6-PlantInService'!Print_Area</vt:lpstr>
      <vt:lpstr>'7-PlantStudy'!Print_Area</vt:lpstr>
      <vt:lpstr>'8-AccDep'!Print_Area</vt:lpstr>
      <vt:lpstr>'9-ADIT'!Print_Area</vt:lpstr>
      <vt:lpstr>Contents!Print_Area</vt:lpstr>
      <vt:lpstr>Heading!Print_Area</vt:lpstr>
      <vt:lpstr>Overview!Print_Area</vt:lpstr>
      <vt:lpstr>'1-BaseTRR'!Print_Titles</vt:lpstr>
      <vt:lpstr>'21-RevenueCredits'!Print_Titles</vt:lpstr>
    </vt:vector>
  </TitlesOfParts>
  <Company>Edison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Bert Hansen</dc:creator>
  <cp:lastModifiedBy>Jee Kim</cp:lastModifiedBy>
  <cp:lastPrinted>2019-07-23T19:46:47Z</cp:lastPrinted>
  <dcterms:created xsi:type="dcterms:W3CDTF">2009-02-27T16:01:11Z</dcterms:created>
  <dcterms:modified xsi:type="dcterms:W3CDTF">2020-11-18T19:38:50Z</dcterms:modified>
</cp:coreProperties>
</file>